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710" windowHeight="32767" tabRatio="885" activeTab="0"/>
  </bookViews>
  <sheets>
    <sheet name="ENTRATA" sheetId="1" r:id="rId1"/>
    <sheet name="SPESA" sheetId="2" r:id="rId2"/>
    <sheet name="CASSA" sheetId="3" r:id="rId3"/>
    <sheet name="QUADRO RIASSUNTIVO" sheetId="4" r:id="rId4"/>
    <sheet name="PAREGGIO PARTE CORRENTE" sheetId="5" r:id="rId5"/>
    <sheet name="PAREGGIO PARTE CAPITALE" sheetId="6" r:id="rId6"/>
    <sheet name="PAREGGIO COMPLESSIVO" sheetId="7" r:id="rId7"/>
    <sheet name="EQUILIBRI" sheetId="8" r:id="rId8"/>
    <sheet name="EQUILIBRI_NUOVO" sheetId="9" r:id="rId9"/>
    <sheet name="AVANZO PRESUNTO 2020" sheetId="10" r:id="rId10"/>
    <sheet name="All. a1-Quote accantonate" sheetId="11" r:id="rId11"/>
    <sheet name="All. a2-Quote vincolate" sheetId="12" r:id="rId12"/>
    <sheet name="All. a3- Quote destinate" sheetId="13" r:id="rId13"/>
    <sheet name="INDEBITAMENTO 2021" sheetId="14" r:id="rId14"/>
    <sheet name="INDEBITAMENTO 2022" sheetId="15" r:id="rId15"/>
    <sheet name="INDEBITAMENTO 2023" sheetId="16" r:id="rId16"/>
    <sheet name="INDEBITAMENTO NUOVO" sheetId="17" r:id="rId17"/>
  </sheets>
  <definedNames>
    <definedName name="_xlnm.Print_Area" localSheetId="0">'ENTRATA'!$A$1:$S$170</definedName>
    <definedName name="_xlnm.Print_Area" localSheetId="1">'SPESA'!$A$1:$S$412</definedName>
  </definedNames>
  <calcPr fullCalcOnLoad="1"/>
</workbook>
</file>

<file path=xl/comments1.xml><?xml version="1.0" encoding="utf-8"?>
<comments xmlns="http://schemas.openxmlformats.org/spreadsheetml/2006/main">
  <authors>
    <author>Bruno Lazzarini</author>
  </authors>
  <commentList>
    <comment ref="E31" authorId="0">
      <text>
        <r>
          <rPr>
            <b/>
            <sz val="9"/>
            <rFont val="Tahoma"/>
            <family val="2"/>
          </rPr>
          <t>cap. 380 Spesa</t>
        </r>
      </text>
    </comment>
    <comment ref="K7" authorId="0">
      <text>
        <r>
          <rPr>
            <b/>
            <sz val="9"/>
            <rFont val="Tahoma"/>
            <family val="2"/>
          </rPr>
          <t xml:space="preserve">FCDE : </t>
        </r>
      </text>
    </comment>
    <comment ref="N7" authorId="0">
      <text>
        <r>
          <rPr>
            <b/>
            <sz val="9"/>
            <rFont val="Tahoma"/>
            <family val="2"/>
          </rPr>
          <t xml:space="preserve">FCDE : </t>
        </r>
      </text>
    </comment>
    <comment ref="Q7" authorId="0">
      <text>
        <r>
          <rPr>
            <b/>
            <sz val="9"/>
            <rFont val="Tahoma"/>
            <family val="2"/>
          </rPr>
          <t xml:space="preserve">FCDE : </t>
        </r>
      </text>
    </comment>
    <comment ref="K8" authorId="0">
      <text>
        <r>
          <rPr>
            <b/>
            <sz val="9"/>
            <rFont val="Tahoma"/>
            <family val="2"/>
          </rPr>
          <t xml:space="preserve">FCDE : </t>
        </r>
      </text>
    </comment>
    <comment ref="N8" authorId="0">
      <text>
        <r>
          <rPr>
            <b/>
            <sz val="9"/>
            <rFont val="Tahoma"/>
            <family val="2"/>
          </rPr>
          <t>FCDE :</t>
        </r>
      </text>
    </comment>
    <comment ref="Q8" authorId="0">
      <text>
        <r>
          <rPr>
            <b/>
            <sz val="9"/>
            <rFont val="Tahoma"/>
            <family val="2"/>
          </rPr>
          <t>FCDE :</t>
        </r>
      </text>
    </comment>
    <comment ref="K12" authorId="0">
      <text>
        <r>
          <rPr>
            <b/>
            <sz val="9"/>
            <rFont val="Tahoma"/>
            <family val="2"/>
          </rPr>
          <t xml:space="preserve">FCDE : </t>
        </r>
      </text>
    </comment>
    <comment ref="N12" authorId="0">
      <text>
        <r>
          <rPr>
            <b/>
            <sz val="9"/>
            <rFont val="Tahoma"/>
            <family val="2"/>
          </rPr>
          <t xml:space="preserve">FCDE : </t>
        </r>
      </text>
    </comment>
    <comment ref="Q12" authorId="0">
      <text>
        <r>
          <rPr>
            <b/>
            <sz val="9"/>
            <rFont val="Tahoma"/>
            <family val="2"/>
          </rPr>
          <t xml:space="preserve">FCDE : </t>
        </r>
      </text>
    </comment>
    <comment ref="K13" authorId="0">
      <text>
        <r>
          <rPr>
            <b/>
            <sz val="9"/>
            <rFont val="Tahoma"/>
            <family val="2"/>
          </rPr>
          <t>FCDE :</t>
        </r>
      </text>
    </comment>
    <comment ref="N13" authorId="0">
      <text>
        <r>
          <rPr>
            <b/>
            <sz val="9"/>
            <rFont val="Tahoma"/>
            <family val="2"/>
          </rPr>
          <t xml:space="preserve">FCDE : </t>
        </r>
      </text>
    </comment>
    <comment ref="Q13" authorId="0">
      <text>
        <r>
          <rPr>
            <b/>
            <sz val="9"/>
            <rFont val="Tahoma"/>
            <family val="2"/>
          </rPr>
          <t xml:space="preserve">FCDE : </t>
        </r>
      </text>
    </comment>
    <comment ref="K65" authorId="0">
      <text>
        <r>
          <rPr>
            <b/>
            <sz val="9"/>
            <rFont val="Tahoma"/>
            <family val="2"/>
          </rPr>
          <t xml:space="preserve">FCDE : </t>
        </r>
      </text>
    </comment>
    <comment ref="N65" authorId="0">
      <text>
        <r>
          <rPr>
            <b/>
            <sz val="9"/>
            <rFont val="Tahoma"/>
            <family val="2"/>
          </rPr>
          <t xml:space="preserve">FCDE : </t>
        </r>
      </text>
    </comment>
    <comment ref="Q65" authorId="0">
      <text>
        <r>
          <rPr>
            <b/>
            <sz val="9"/>
            <rFont val="Tahoma"/>
            <family val="2"/>
          </rPr>
          <t xml:space="preserve">FCDE : </t>
        </r>
      </text>
    </comment>
    <comment ref="K66" authorId="0">
      <text>
        <r>
          <rPr>
            <b/>
            <sz val="9"/>
            <rFont val="Tahoma"/>
            <family val="2"/>
          </rPr>
          <t xml:space="preserve">FCDE : </t>
        </r>
      </text>
    </comment>
    <comment ref="N66" authorId="0">
      <text>
        <r>
          <rPr>
            <b/>
            <sz val="9"/>
            <rFont val="Tahoma"/>
            <family val="2"/>
          </rPr>
          <t xml:space="preserve">FCDE : </t>
        </r>
      </text>
    </comment>
    <comment ref="Q66" authorId="0">
      <text>
        <r>
          <rPr>
            <b/>
            <sz val="9"/>
            <rFont val="Tahoma"/>
            <family val="2"/>
          </rPr>
          <t xml:space="preserve">FCDE : </t>
        </r>
      </text>
    </comment>
    <comment ref="I126" authorId="0">
      <text>
        <r>
          <rPr>
            <b/>
            <sz val="9"/>
            <rFont val="Tahoma"/>
            <family val="2"/>
          </rPr>
          <t>Spesa capitoli :
- 1500
- 1524
- 2045
- 2070/16
- 2070/17
- 2070/18
- 2074
- 2095
- 2105
- 2150
- 2155</t>
        </r>
      </text>
    </comment>
  </commentList>
</comments>
</file>

<file path=xl/comments2.xml><?xml version="1.0" encoding="utf-8"?>
<comments xmlns="http://schemas.openxmlformats.org/spreadsheetml/2006/main">
  <authors>
    <author>Bruno Lazzarini</author>
  </authors>
  <commentList>
    <comment ref="G408" authorId="0">
      <text>
        <r>
          <rPr>
            <b/>
            <sz val="9"/>
            <rFont val="Tahoma"/>
            <family val="2"/>
          </rPr>
          <t>COMPRENDE QUOTA TEFA ALLA PROVINCIA</t>
        </r>
      </text>
    </comment>
    <comment ref="G63" authorId="0">
      <text>
        <r>
          <rPr>
            <b/>
            <sz val="9"/>
            <rFont val="Tahoma"/>
            <family val="2"/>
          </rPr>
          <t xml:space="preserve">cap.251 Entrata
</t>
        </r>
      </text>
    </comment>
    <comment ref="M249" authorId="0">
      <text>
        <r>
          <rPr>
            <b/>
            <sz val="10"/>
            <rFont val="Tahoma"/>
            <family val="2"/>
          </rPr>
          <t>Indennità fine mandato sindaco euro 1.952,20 + Irap euro 1165,94 = 2.118,14</t>
        </r>
      </text>
    </comment>
    <comment ref="G244" authorId="0">
      <text>
        <r>
          <rPr>
            <b/>
            <sz val="9"/>
            <rFont val="Tahoma"/>
            <family val="2"/>
          </rPr>
          <t>minimo 0,30% e massimo 2% del totale delle spese correnti (metà della quota minima riservata a copertura di "spese non prevedibili" - Art. 166, c. 2/bis, TUEL</t>
        </r>
      </text>
    </comment>
    <comment ref="M244" authorId="0">
      <text>
        <r>
          <rPr>
            <b/>
            <sz val="9"/>
            <rFont val="Tahoma"/>
            <family val="2"/>
          </rPr>
          <t>importo minimo (0,30%) euro 6.797,88 
massimo (2%) euro 45.319,20</t>
        </r>
      </text>
    </comment>
    <comment ref="N178" authorId="0">
      <text>
        <r>
          <rPr>
            <b/>
            <sz val="9"/>
            <rFont val="Tahoma"/>
            <family val="2"/>
          </rPr>
          <t>FPV</t>
        </r>
      </text>
    </comment>
    <comment ref="S273" authorId="0">
      <text>
        <r>
          <rPr>
            <b/>
            <sz val="9"/>
            <rFont val="Tahoma"/>
            <family val="2"/>
          </rPr>
          <t>finanziamento con oneri</t>
        </r>
      </text>
    </comment>
    <comment ref="V245" authorId="0">
      <text>
        <r>
          <rPr>
            <b/>
            <sz val="9"/>
            <color indexed="10"/>
            <rFont val="Tahoma"/>
            <family val="2"/>
          </rPr>
          <t>l'importo da iscrivere è pari al 0,2%  (minimo) delle previsioni di cassa delle Spese Finali (Titoli 1, 2 e 3) Art. 166 TUEL</t>
        </r>
      </text>
    </comment>
  </commentList>
</comments>
</file>

<file path=xl/comments3.xml><?xml version="1.0" encoding="utf-8"?>
<comments xmlns="http://schemas.openxmlformats.org/spreadsheetml/2006/main">
  <authors>
    <author>Bruno Lazzarini</author>
  </authors>
  <commentList>
    <comment ref="B3" authorId="0">
      <text>
        <r>
          <rPr>
            <b/>
            <sz val="9"/>
            <rFont val="Tahoma"/>
            <family val="2"/>
          </rPr>
          <t>dati Tesoriere al 31.12.2020</t>
        </r>
      </text>
    </comment>
  </commentList>
</comments>
</file>

<file path=xl/comments8.xml><?xml version="1.0" encoding="utf-8"?>
<comments xmlns="http://schemas.openxmlformats.org/spreadsheetml/2006/main">
  <authors>
    <author>Comune di Camisano</author>
  </authors>
  <commentList>
    <comment ref="A33" authorId="0">
      <text>
        <r>
          <rPr>
            <b/>
            <sz val="8"/>
            <rFont val="Tahoma"/>
            <family val="2"/>
          </rPr>
          <t>ONERI DI URBANIZZAZIONE</t>
        </r>
      </text>
    </comment>
  </commentList>
</comments>
</file>

<file path=xl/sharedStrings.xml><?xml version="1.0" encoding="utf-8"?>
<sst xmlns="http://schemas.openxmlformats.org/spreadsheetml/2006/main" count="1709" uniqueCount="1039">
  <si>
    <t>Fornitura testi alunni scuole</t>
  </si>
  <si>
    <t>Servizio sorveglianza alunni</t>
  </si>
  <si>
    <t>differenze</t>
  </si>
  <si>
    <t>Prelievi da depositi bancari (mutui Cassa DD.PP.)</t>
  </si>
  <si>
    <t>Versamenti a depositi bancari (mutui Cassa DD.PP.)</t>
  </si>
  <si>
    <t>PREVISIONE SITUAZIONE DI CASSA</t>
  </si>
  <si>
    <t>4.02.01.02.000</t>
  </si>
  <si>
    <t>1.02.01.99.000</t>
  </si>
  <si>
    <t>101</t>
  </si>
  <si>
    <t>Titolo</t>
  </si>
  <si>
    <t>Tipologia</t>
  </si>
  <si>
    <t>TOTALE TITOLO 2 - ENTRATE DA TRASFERIMENTI</t>
  </si>
  <si>
    <t>TITOLO 2 - ENTRATE DA TRASFERIMENTI</t>
  </si>
  <si>
    <t>TOTALE TITOLO 1 - ENTRATE DI NATURA TRIBUTARIA, CONTRIBUTIVA E PEREQUATIVA</t>
  </si>
  <si>
    <t>TITOLO 1 - ENTRATE CORRENTI DI NATURA TRIBUTARIA, CONTRIBUTIVA E PEREQUATIVA</t>
  </si>
  <si>
    <t>TITOLO 3 - ENTRATE EXTRATRIBUTARIE</t>
  </si>
  <si>
    <t>301</t>
  </si>
  <si>
    <t>TOTALE TITOLO 3 - ENTRATE EXTRATRIBUTARIE</t>
  </si>
  <si>
    <t>TITOLO 4 - ENTRATE IN CONTO CAPITALE</t>
  </si>
  <si>
    <t>404</t>
  </si>
  <si>
    <t>TOTALE TITOLO 4 - ENTRATE IN CONTO CAPITALE</t>
  </si>
  <si>
    <t>603</t>
  </si>
  <si>
    <t>TOTALE TITOLO 6 - ACCENSIONE PRESTITI</t>
  </si>
  <si>
    <t>TITOLO 7 - ANTICIPAZIONI DA ISTITUTO TESORIERE/CASSIERE</t>
  </si>
  <si>
    <t>701</t>
  </si>
  <si>
    <t>TITOLO 9 - ENTRATE PER CONTO TERZI E PARTITE DI GIRO</t>
  </si>
  <si>
    <t>901</t>
  </si>
  <si>
    <t>902</t>
  </si>
  <si>
    <t>TITOLO 6 - ACCENSIONE PRESTITI</t>
  </si>
  <si>
    <t>TITOLO 1 - SPESE CORRENTI</t>
  </si>
  <si>
    <t>TOTALE MISSIONE 1 - SERVIZI ISTITUZIONALI, GENERALI E DI GESTIONE</t>
  </si>
  <si>
    <t>MISSIONE 1 - SERVIZI ISTITUZIONALI, GENERALI E DI GESTIONE</t>
  </si>
  <si>
    <t>MISSIONE 3 - ORDINE PUBBLICO E SICUREZZA</t>
  </si>
  <si>
    <t>TOTALE MISSIONE 3 - ORDINE PUBBLICO E SICUREZZA</t>
  </si>
  <si>
    <r>
      <t>TOTALE PROGRAMMA 1</t>
    </r>
    <r>
      <rPr>
        <b/>
        <sz val="10"/>
        <color indexed="12"/>
        <rFont val="Arial"/>
        <family val="2"/>
      </rPr>
      <t xml:space="preserve"> (Organi istituzionali)</t>
    </r>
  </si>
  <si>
    <r>
      <t>TOTALE PROGRAMMA 2</t>
    </r>
    <r>
      <rPr>
        <b/>
        <sz val="10"/>
        <color indexed="12"/>
        <rFont val="Arial"/>
        <family val="2"/>
      </rPr>
      <t xml:space="preserve"> (Segreteria generale)</t>
    </r>
  </si>
  <si>
    <r>
      <t>TOTALE PROGRAMMA 3</t>
    </r>
    <r>
      <rPr>
        <b/>
        <sz val="10"/>
        <color indexed="12"/>
        <rFont val="Arial"/>
        <family val="2"/>
      </rPr>
      <t xml:space="preserve"> (Gestione economica, finanziaria, programmazione, provveditorato)</t>
    </r>
  </si>
  <si>
    <r>
      <t xml:space="preserve">TOTALE PROGRAMMA 4 </t>
    </r>
    <r>
      <rPr>
        <b/>
        <sz val="10"/>
        <color indexed="12"/>
        <rFont val="Arial"/>
        <family val="2"/>
      </rPr>
      <t>(Gestione delle entrate tributarie e servizi fiscali)</t>
    </r>
  </si>
  <si>
    <r>
      <t>TOTALE PROGRAMMA 5</t>
    </r>
    <r>
      <rPr>
        <b/>
        <sz val="10"/>
        <color indexed="12"/>
        <rFont val="Arial"/>
        <family val="2"/>
      </rPr>
      <t xml:space="preserve"> (Gestione dei beni demaniali e patrimoniali)</t>
    </r>
  </si>
  <si>
    <r>
      <t xml:space="preserve">TOTALE PROGRAMMA 6 </t>
    </r>
    <r>
      <rPr>
        <b/>
        <sz val="10"/>
        <color indexed="12"/>
        <rFont val="Arial"/>
        <family val="2"/>
      </rPr>
      <t>(Ufficio tecnico)</t>
    </r>
  </si>
  <si>
    <r>
      <t>TOTALE PROGRAMMA 7</t>
    </r>
    <r>
      <rPr>
        <b/>
        <sz val="10"/>
        <color indexed="12"/>
        <rFont val="Arial"/>
        <family val="2"/>
      </rPr>
      <t xml:space="preserve"> (Elezioni e consultazioni popolari - Anagrafe e stato civile)</t>
    </r>
  </si>
  <si>
    <r>
      <t>TOTALE PROGRAMMA 8</t>
    </r>
    <r>
      <rPr>
        <b/>
        <sz val="10"/>
        <color indexed="12"/>
        <rFont val="Arial"/>
        <family val="2"/>
      </rPr>
      <t xml:space="preserve"> (Servizio statistico e sistemi informativi)</t>
    </r>
  </si>
  <si>
    <r>
      <t xml:space="preserve">TOTALE PROGRAMMA 10 </t>
    </r>
    <r>
      <rPr>
        <b/>
        <sz val="10"/>
        <color indexed="12"/>
        <rFont val="Arial"/>
        <family val="2"/>
      </rPr>
      <t>(Risorse umane)</t>
    </r>
  </si>
  <si>
    <r>
      <t xml:space="preserve">TOTALE PROGRAMMA 11 </t>
    </r>
    <r>
      <rPr>
        <b/>
        <sz val="10"/>
        <color indexed="12"/>
        <rFont val="Arial"/>
        <family val="2"/>
      </rPr>
      <t>(Altri servizi generali)</t>
    </r>
  </si>
  <si>
    <t>MISSIONE 4 - ISTRUZIONE E DIRITTO ALLO STUDIO</t>
  </si>
  <si>
    <t>TOTALE MISSIONE 4 - ISTRUZIONE E DIRITTO ALLO STUDIO</t>
  </si>
  <si>
    <r>
      <t xml:space="preserve">TOTALE </t>
    </r>
    <r>
      <rPr>
        <b/>
        <sz val="10"/>
        <rFont val="Arial"/>
        <family val="2"/>
      </rPr>
      <t>PROGRAMMA 2</t>
    </r>
    <r>
      <rPr>
        <b/>
        <sz val="10"/>
        <color indexed="12"/>
        <rFont val="Arial"/>
        <family val="2"/>
      </rPr>
      <t xml:space="preserve"> (Attività culturale e interventi diversi nel settore culturale)</t>
    </r>
  </si>
  <si>
    <t>MISSIONE 5 - TUTELA E VALORIZZAZIONE DEI BENI E ATTIVITA' CULTURALI</t>
  </si>
  <si>
    <t>TOTALE MISSIONE 5 - TUTELA E VALORIZZAZIONE DEI BENI E ATTIVITA' CULTURALI</t>
  </si>
  <si>
    <t>MISSIONE 6 - POLITICHE GIOVANILI, SPORT E TEMPO LIBERO</t>
  </si>
  <si>
    <r>
      <t>TOTALE</t>
    </r>
    <r>
      <rPr>
        <b/>
        <sz val="10"/>
        <rFont val="Arial"/>
        <family val="2"/>
      </rPr>
      <t xml:space="preserve"> PROGRAMMA 1 </t>
    </r>
    <r>
      <rPr>
        <b/>
        <sz val="10"/>
        <color indexed="12"/>
        <rFont val="Arial"/>
        <family val="2"/>
      </rPr>
      <t>(Sport e tempo libero)</t>
    </r>
  </si>
  <si>
    <r>
      <t xml:space="preserve">TOTALE </t>
    </r>
    <r>
      <rPr>
        <b/>
        <sz val="10"/>
        <rFont val="Arial"/>
        <family val="2"/>
      </rPr>
      <t xml:space="preserve">PROGRAMMA 2 </t>
    </r>
    <r>
      <rPr>
        <b/>
        <sz val="10"/>
        <color indexed="12"/>
        <rFont val="Arial"/>
        <family val="2"/>
      </rPr>
      <t>(Attività culturali e interventi diversi nel settore culturale)</t>
    </r>
  </si>
  <si>
    <t>TOTALE MISSIONE 6 - POLITICHE GIOVANILI, SPORT E TEMPO LIBERO</t>
  </si>
  <si>
    <t>MISSIONE 8 - ASSETTO DEL TERRITORIO ED EDILIZIA ABITATIVA</t>
  </si>
  <si>
    <r>
      <t xml:space="preserve">TOTALE </t>
    </r>
    <r>
      <rPr>
        <b/>
        <sz val="10"/>
        <rFont val="Arial"/>
        <family val="2"/>
      </rPr>
      <t>PROGRAMMA 1</t>
    </r>
    <r>
      <rPr>
        <b/>
        <sz val="10"/>
        <color indexed="12"/>
        <rFont val="Arial"/>
        <family val="2"/>
      </rPr>
      <t xml:space="preserve"> (Urbanistica e assetto del territorio)</t>
    </r>
  </si>
  <si>
    <r>
      <t xml:space="preserve">TOTALE </t>
    </r>
    <r>
      <rPr>
        <b/>
        <sz val="10"/>
        <rFont val="Arial"/>
        <family val="2"/>
      </rPr>
      <t>PROGRAMMA 2</t>
    </r>
    <r>
      <rPr>
        <b/>
        <sz val="10"/>
        <color indexed="12"/>
        <rFont val="Arial"/>
        <family val="2"/>
      </rPr>
      <t xml:space="preserve"> (Edilizia residenziale pubblica e locale e piani di edilizia economico-popolare)</t>
    </r>
  </si>
  <si>
    <r>
      <t xml:space="preserve">TOTALE </t>
    </r>
    <r>
      <rPr>
        <b/>
        <sz val="10"/>
        <rFont val="Arial"/>
        <family val="2"/>
      </rPr>
      <t>PROGRAMMA 1</t>
    </r>
    <r>
      <rPr>
        <b/>
        <sz val="10"/>
        <color indexed="12"/>
        <rFont val="Arial"/>
        <family val="2"/>
      </rPr>
      <t xml:space="preserve"> (Difesa del suolo)</t>
    </r>
  </si>
  <si>
    <r>
      <t xml:space="preserve">TOTALE </t>
    </r>
    <r>
      <rPr>
        <b/>
        <sz val="10"/>
        <rFont val="Arial"/>
        <family val="2"/>
      </rPr>
      <t xml:space="preserve">PROGRAMMA 2 </t>
    </r>
    <r>
      <rPr>
        <b/>
        <sz val="10"/>
        <color indexed="12"/>
        <rFont val="Arial"/>
        <family val="2"/>
      </rPr>
      <t>(Tutela, valorizzazione e recupero ambientale)</t>
    </r>
  </si>
  <si>
    <r>
      <t>TOTALE</t>
    </r>
    <r>
      <rPr>
        <b/>
        <sz val="10"/>
        <rFont val="Arial"/>
        <family val="2"/>
      </rPr>
      <t xml:space="preserve"> PROGRAMMA 3 </t>
    </r>
    <r>
      <rPr>
        <b/>
        <sz val="10"/>
        <color indexed="12"/>
        <rFont val="Arial"/>
        <family val="2"/>
      </rPr>
      <t>(Rifiuti)</t>
    </r>
  </si>
  <si>
    <r>
      <t xml:space="preserve">TOTALE </t>
    </r>
    <r>
      <rPr>
        <b/>
        <sz val="10"/>
        <rFont val="Arial"/>
        <family val="2"/>
      </rPr>
      <t xml:space="preserve">PROGRAMMA 4 </t>
    </r>
    <r>
      <rPr>
        <b/>
        <sz val="10"/>
        <color indexed="12"/>
        <rFont val="Arial"/>
        <family val="2"/>
      </rPr>
      <t>(Servizio idrico integrato)</t>
    </r>
  </si>
  <si>
    <t>TOTALE MISSIONE 8 - ASSETTO DEL TERRITORIO ED EDILIZIA ABITATIVA</t>
  </si>
  <si>
    <t>TOTALE MISSIONE 9 - SVILUPPO SOSTENIBILE E TUTELA DEL TERRITORIO E DELL'AMBIENTE</t>
  </si>
  <si>
    <t>MISSIONE 9 - SVILUPPO SOSTENIBILE E TUTELA DEL TERRITORIO E DELL'AMBIENTE</t>
  </si>
  <si>
    <t>MISSIONE 10 - TRASPORTI E DIRITTO ALLA MOBILITA'</t>
  </si>
  <si>
    <r>
      <t xml:space="preserve">TOTALE </t>
    </r>
    <r>
      <rPr>
        <b/>
        <sz val="10"/>
        <rFont val="Arial"/>
        <family val="2"/>
      </rPr>
      <t>PROGRAMMA 5</t>
    </r>
    <r>
      <rPr>
        <b/>
        <sz val="10"/>
        <color indexed="12"/>
        <rFont val="Arial"/>
        <family val="2"/>
      </rPr>
      <t xml:space="preserve"> (Viabilità e infrastrutture stradali)</t>
    </r>
  </si>
  <si>
    <r>
      <t xml:space="preserve">TOTALE </t>
    </r>
    <r>
      <rPr>
        <b/>
        <sz val="10"/>
        <rFont val="Arial"/>
        <family val="2"/>
      </rPr>
      <t xml:space="preserve">PROGRAMMA 1 </t>
    </r>
    <r>
      <rPr>
        <b/>
        <sz val="10"/>
        <color indexed="12"/>
        <rFont val="Arial"/>
        <family val="2"/>
      </rPr>
      <t>(Sistema di protezione civile)</t>
    </r>
  </si>
  <si>
    <t>TOTALE MISSIONE 10 - TRASPORTI E DIRITTO ALLA MOBILITA'</t>
  </si>
  <si>
    <t>MISSIONE 11 - SOCCORSO CIVILE</t>
  </si>
  <si>
    <t>TOTALE MISSIONE 11 - SOCCORSO CIVILE</t>
  </si>
  <si>
    <t>MISSIONE 12 - DIRITTI SOCIALI, POLITICHE SOCIALI E FAMIGLIA</t>
  </si>
  <si>
    <t>TOTALE MISSIONE 12 - DIRITTI SOCIALI, POLITICHE SOCIALI E FAMIGLIA</t>
  </si>
  <si>
    <r>
      <t xml:space="preserve">TOTALE </t>
    </r>
    <r>
      <rPr>
        <b/>
        <sz val="10"/>
        <rFont val="Arial"/>
        <family val="2"/>
      </rPr>
      <t xml:space="preserve">PROGRAMMA 1 </t>
    </r>
    <r>
      <rPr>
        <b/>
        <sz val="10"/>
        <color indexed="12"/>
        <rFont val="Arial"/>
        <family val="2"/>
      </rPr>
      <t>(Interventi per l'infanzia e i minori e per asili nido)</t>
    </r>
  </si>
  <si>
    <r>
      <t xml:space="preserve">TOTALE </t>
    </r>
    <r>
      <rPr>
        <b/>
        <sz val="10"/>
        <rFont val="Arial"/>
        <family val="2"/>
      </rPr>
      <t>PROGRAMMA 3</t>
    </r>
    <r>
      <rPr>
        <b/>
        <sz val="10"/>
        <color indexed="12"/>
        <rFont val="Arial"/>
        <family val="2"/>
      </rPr>
      <t xml:space="preserve"> (Interventi per gli anziani)</t>
    </r>
  </si>
  <si>
    <t>TOTALE TITOLO 1 - SPESE CORRENTI</t>
  </si>
  <si>
    <t>TITOLO 2 - SPESE IN CONTO CAPITALE</t>
  </si>
  <si>
    <t>TOTALE TITOLO 2 - SPESE IN CONTO CAPITALE</t>
  </si>
  <si>
    <t>TITOLO 5 - CHIUSURA ANTICIPAZIONI RICEVUTE DA ISTITUTO TESORIERE/CASSIERE</t>
  </si>
  <si>
    <t>TOTALE TITOLO 5 - CHIUSURA ANTICIPAZIONI RICEVUTE DA ISTITUTO TESORIERE/CASSIERE</t>
  </si>
  <si>
    <t>TITOLO 7 - SERVIZI PER CONTO TERZI</t>
  </si>
  <si>
    <t>TOTALE TITOLO 7 - SERVIZI PER CONTO TERZI</t>
  </si>
  <si>
    <t>Missione</t>
  </si>
  <si>
    <t>Programma</t>
  </si>
  <si>
    <t>TOTALE TITOLO IX - ENTRATE PER CONTO TERZI E PARTITE DI GIRO</t>
  </si>
  <si>
    <t>6.03.01.04.000</t>
  </si>
  <si>
    <t>5.01.01.01.000</t>
  </si>
  <si>
    <t>2.04.21.02.000</t>
  </si>
  <si>
    <t>3.05.02.03.000</t>
  </si>
  <si>
    <t>3.05.99.99.000</t>
  </si>
  <si>
    <t>4.04.02.01.000</t>
  </si>
  <si>
    <t>4.05.01.01.000</t>
  </si>
  <si>
    <t>7.01.01.01.000</t>
  </si>
  <si>
    <t>9.01.01.01.000</t>
  </si>
  <si>
    <t>9.02.04.01.000</t>
  </si>
  <si>
    <t>9.01.99.03.000</t>
  </si>
  <si>
    <t>1.01.01.53.000</t>
  </si>
  <si>
    <t>9.01.02.99.000</t>
  </si>
  <si>
    <t>Spese rappresentanza (beni e servizi)</t>
  </si>
  <si>
    <t>1.01.01.01.000</t>
  </si>
  <si>
    <t>1.01.02.01.000</t>
  </si>
  <si>
    <t>1.03.01.02.000</t>
  </si>
  <si>
    <t>1.04.04.01.000</t>
  </si>
  <si>
    <t>1.03.02.01.000</t>
  </si>
  <si>
    <t>1.03.02.02.000</t>
  </si>
  <si>
    <t>1.03.02.99.000</t>
  </si>
  <si>
    <t>1.03.02.19.000</t>
  </si>
  <si>
    <t>1.02.01.01.000</t>
  </si>
  <si>
    <t>1.04.01.01.000</t>
  </si>
  <si>
    <t>1.03.02.05.000</t>
  </si>
  <si>
    <t>1.03.02.15.000</t>
  </si>
  <si>
    <t>1.03.02.16.000</t>
  </si>
  <si>
    <t>1.03.02.09.000</t>
  </si>
  <si>
    <t>1.03.02.13.000</t>
  </si>
  <si>
    <t>1.03.02.11.000</t>
  </si>
  <si>
    <t>1.03.02.17.000</t>
  </si>
  <si>
    <t>1.04.01.02.000</t>
  </si>
  <si>
    <t>1.09.02.01.000</t>
  </si>
  <si>
    <t>1.10.03.01.000</t>
  </si>
  <si>
    <t>1.07.06.04.000</t>
  </si>
  <si>
    <t>1.03.02.04.000</t>
  </si>
  <si>
    <t>1.01.01.02.000</t>
  </si>
  <si>
    <t>1.02.01.09.000</t>
  </si>
  <si>
    <t>1.10.04.01.000</t>
  </si>
  <si>
    <t>1.10.01.03.000</t>
  </si>
  <si>
    <t>1.10.01.01.000</t>
  </si>
  <si>
    <t>1.07.05.04.000</t>
  </si>
  <si>
    <t>1.04.02.02.000</t>
  </si>
  <si>
    <t>Proventi per concessioni cimiteriali</t>
  </si>
  <si>
    <t>Retribuzioni ufficio segreteria (a tempo indeterminato)</t>
  </si>
  <si>
    <t>Adeguamento ecocentro comunale</t>
  </si>
  <si>
    <t>Rimborso oneri di urbanizzazione</t>
  </si>
  <si>
    <t>2.05.04.05.000</t>
  </si>
  <si>
    <t>Oneri contributivi ufficio segreteria (a tempo indeterminato)</t>
  </si>
  <si>
    <t>Oneri contributivi su salario accessorio</t>
  </si>
  <si>
    <t>IRAP su salario accessorio</t>
  </si>
  <si>
    <t>DESCRIZIONE</t>
  </si>
  <si>
    <t>TOTALE GENERALE ENTRATA</t>
  </si>
  <si>
    <t>TOTALE GENERALE SPESA</t>
  </si>
  <si>
    <t>Fondo di solidarietà comunale (F.S.C.)</t>
  </si>
  <si>
    <t>Imposta Municipale Propria (IMU)</t>
  </si>
  <si>
    <t>Addizionale comunale all'Irpef</t>
  </si>
  <si>
    <t>Titolo 1 - Entrate correnti di natura tributaria, contributiva e perequativa</t>
  </si>
  <si>
    <t>Titolo 2 - Trasferimenti correnti</t>
  </si>
  <si>
    <t>Titolo 3 - Entrate extratributarie</t>
  </si>
  <si>
    <t>Titolo 5 - Entrate da riduzione di attività finanziarie</t>
  </si>
  <si>
    <t>TOTALE ENTRATE</t>
  </si>
  <si>
    <t>TOTALE SPESE</t>
  </si>
  <si>
    <t>SALDI</t>
  </si>
  <si>
    <t>ENTRATA</t>
  </si>
  <si>
    <t>SPESA</t>
  </si>
  <si>
    <t>Imposta pubblicità</t>
  </si>
  <si>
    <t>4.02.01.01.000</t>
  </si>
  <si>
    <t>Diritti di segreteria in materia urbanistica</t>
  </si>
  <si>
    <t>Diritti per rilascio carte d'identità</t>
  </si>
  <si>
    <t>Interessi attivi su somme non erogate Cassa DD.PP.</t>
  </si>
  <si>
    <t>Rimborso da assicurazioni per danni</t>
  </si>
  <si>
    <t>2.02.01.09.000</t>
  </si>
  <si>
    <t>Concorso spese mantenimento infanti</t>
  </si>
  <si>
    <t>2.02.03.05.000</t>
  </si>
  <si>
    <t>Prolungamento pista ciclabile strada Provinciale Grimana</t>
  </si>
  <si>
    <t>Assistenza e beneficenza pubblica serv.div.persona (ADI + Soggiorni climatici)</t>
  </si>
  <si>
    <t>Diritti di segreteria su certificazioni servizi demografici</t>
  </si>
  <si>
    <t>Diritti di rogito su contratti Segretario comunale</t>
  </si>
  <si>
    <t>Sanzioni amministrative violazioni regolamenti comunali, ordinanze, etc.</t>
  </si>
  <si>
    <t>Proventi del servizio di trasporto scolastico</t>
  </si>
  <si>
    <t>Rimborso spese per missioni degli amministratori</t>
  </si>
  <si>
    <t>IRAP su indennità agli amministratori</t>
  </si>
  <si>
    <t>Spese per liti e arbitraggi</t>
  </si>
  <si>
    <t>Servizio di inumazione e tumulazioni</t>
  </si>
  <si>
    <r>
      <t xml:space="preserve">TOTALE PROGRAMMA 1 </t>
    </r>
    <r>
      <rPr>
        <b/>
        <sz val="10"/>
        <color indexed="12"/>
        <rFont val="Arial"/>
        <family val="2"/>
      </rPr>
      <t>(Sport e tempo libero)</t>
    </r>
  </si>
  <si>
    <t>Spese trasporto scolastico effettuato da terzi</t>
  </si>
  <si>
    <t>Trasferimento da Comune di Agugliaro per convenzione segreteria convenzionata</t>
  </si>
  <si>
    <t>Spese per elezioni amministrative (acquisto stampati e cancelleria)</t>
  </si>
  <si>
    <t>Spese per elezioni amministrative (compensi seggi e altre prestazioni)</t>
  </si>
  <si>
    <t>IRAP su compensi lavoro straordinario elezioni amministrative</t>
  </si>
  <si>
    <t>Spese per materiale consumo funzionamento ufficio tecnico</t>
  </si>
  <si>
    <t>Spese per funzionamento C.E.M.</t>
  </si>
  <si>
    <t>Fondo crediti dubbia esigibilità (FCDE)</t>
  </si>
  <si>
    <t>1.10.01.99.000</t>
  </si>
  <si>
    <t>2131/1</t>
  </si>
  <si>
    <t xml:space="preserve"> </t>
  </si>
  <si>
    <t>TOTALE ENTRATE CORRENTI (compreso FPV Entrata per spese correnti)</t>
  </si>
  <si>
    <t>TOTALE SPESE CORRENTI (comprese reimputazioni)</t>
  </si>
  <si>
    <t>avanzo di amministrazione per spese correnti</t>
  </si>
  <si>
    <t>Spese varie funzionamento uffici comunali (utenze)</t>
  </si>
  <si>
    <t>Fondo crediti di dubbia esigibilità</t>
  </si>
  <si>
    <t>2070/15</t>
  </si>
  <si>
    <t>2070/5</t>
  </si>
  <si>
    <t>100</t>
  </si>
  <si>
    <t>200</t>
  </si>
  <si>
    <t>300</t>
  </si>
  <si>
    <t>Codice PdC</t>
  </si>
  <si>
    <t>4.03.01.04.000</t>
  </si>
  <si>
    <t>7.01.02.01.000</t>
  </si>
  <si>
    <t>7.01.03.01.000</t>
  </si>
  <si>
    <t>7.01.02.02.000</t>
  </si>
  <si>
    <t>Versamento della ritenuta del 4% sui contributi pubblici</t>
  </si>
  <si>
    <t>Ritenute su redditi da lavoro dipendente</t>
  </si>
  <si>
    <t>Versamenti di ritenute su redditi da lavoro dipendente</t>
  </si>
  <si>
    <t>Versamenti di ritenute su redditi da lavoro autonomo</t>
  </si>
  <si>
    <t>7.01.02.99.000</t>
  </si>
  <si>
    <t>7.01.99.03.000</t>
  </si>
  <si>
    <t>7.02.99.99.000</t>
  </si>
  <si>
    <t>7.02.04.01.000</t>
  </si>
  <si>
    <t>Proventi concessioni edilizie e sanzioni urbanistiche</t>
  </si>
  <si>
    <t>Ritenute previdenziali al personale</t>
  </si>
  <si>
    <t>Altre ritenute al personale</t>
  </si>
  <si>
    <t>Depositi cauzionali</t>
  </si>
  <si>
    <t>Servizi conto terzi</t>
  </si>
  <si>
    <t>Depositi spese contrattuali</t>
  </si>
  <si>
    <t>Indennità di carica agli Amministratori</t>
  </si>
  <si>
    <t>Contributi associativi annuali vari</t>
  </si>
  <si>
    <t>CASSA</t>
  </si>
  <si>
    <t>CASSA 
ANNO DI RIFERIMENTO DEL BILANCIO 
2016</t>
  </si>
  <si>
    <t>COMPETENZA ANNO 2020</t>
  </si>
  <si>
    <t>CASSA 
ANNO DI RIFERIMENTO DEL BILANCIO 2016</t>
  </si>
  <si>
    <t>Titolo 1 - Spese correnti (comprese reimputazioni da riaccertamento ordinario residui 2016)</t>
  </si>
  <si>
    <t>1.10.02.01.000</t>
  </si>
  <si>
    <t>2.02.01.10.000</t>
  </si>
  <si>
    <t>2.02.01.99.000</t>
  </si>
  <si>
    <t>Acquisto attrezzature informatiche</t>
  </si>
  <si>
    <t>2.02.01.07.000</t>
  </si>
  <si>
    <t>Retribuzioni ufficio ragioneria</t>
  </si>
  <si>
    <t>Diritti di rogito al segretario</t>
  </si>
  <si>
    <t>TITOLO 5 - ENTRATE DA RIDUZIONE DI ATTIVITA' FINANZIARIE</t>
  </si>
  <si>
    <t>TOTALE TITOLO 5 - ENTRATE DA RIDUZIONE DI ATTIVITA' FINANZIARIE</t>
  </si>
  <si>
    <t>TITOLO 3 - SPESE PER INCREMENTO ATTIVITA' FINANZIARIE</t>
  </si>
  <si>
    <t>TOTALE TITOLO 3 - SPESE PER INCREMENTO ATTIVITA' FINANZIARIE</t>
  </si>
  <si>
    <t>Titolo 6 - Accensione di prestiti</t>
  </si>
  <si>
    <t>Titolo 7 - Anticipazioni da istituto tesoriere/cassiere</t>
  </si>
  <si>
    <t>Titolo 9 - Entrate per conto di terzi e partite di giro</t>
  </si>
  <si>
    <t>Titolo 4 - Rimborso di prestiti</t>
  </si>
  <si>
    <t>Titolo 5 - Chiusura anticipazioni da istituto tesoriere/cassiere</t>
  </si>
  <si>
    <t>Titolo 7 - Spese per conto terzi e partite di giro</t>
  </si>
  <si>
    <t>F.P.V. rinveniente da debito</t>
  </si>
  <si>
    <t>TOTALE QUOTE CAPITALE MUTUI</t>
  </si>
  <si>
    <t>SALDO</t>
  </si>
  <si>
    <t>Spese per accertamento e riscossione tributi</t>
  </si>
  <si>
    <t>IRAP retribuzioni ufficio ragioneria</t>
  </si>
  <si>
    <t>Sgravi e restituzione di tributi</t>
  </si>
  <si>
    <t>Interessi passivi anticipazioni di tesoreria</t>
  </si>
  <si>
    <t>Retribuzioni ufficio tecnico</t>
  </si>
  <si>
    <t>IRAP retribuzioni ufficio tecnico</t>
  </si>
  <si>
    <t>Spese per formazione e qualificazione personale</t>
  </si>
  <si>
    <t>Mensa al personale dipendente</t>
  </si>
  <si>
    <t>Spese per assicurazioni</t>
  </si>
  <si>
    <t>Fondo di riserva</t>
  </si>
  <si>
    <t>Trasferimenti per elezioni di competenza di altri Enti</t>
  </si>
  <si>
    <t>IRAP retribuzioni comando polizia municipale</t>
  </si>
  <si>
    <t>Contributi a scuole materne private</t>
  </si>
  <si>
    <t>Indennità Commissione Edilizia</t>
  </si>
  <si>
    <t>Oneri contributivi ufficio ragioneria</t>
  </si>
  <si>
    <t>Oneri contributivi ufficio tecnico</t>
  </si>
  <si>
    <t>Versamento ritenute previdenziali ed assistenziali su redditi da lavoro autonomo per conto terzi</t>
  </si>
  <si>
    <t>3.02.03.01.000</t>
  </si>
  <si>
    <t>Trasferimento fondi all'ULSS</t>
  </si>
  <si>
    <t xml:space="preserve">Imposte e tasse relative al patrimonio </t>
  </si>
  <si>
    <t>Contributo regionale per sostegno abitazioni in locazione</t>
  </si>
  <si>
    <t>ENTRATE</t>
  </si>
  <si>
    <t>SPESE</t>
  </si>
  <si>
    <t>Quota diritti di segreteria e di rogito da versare al fondo</t>
  </si>
  <si>
    <t>Spese funzionamento biblioteca - acquisto beni</t>
  </si>
  <si>
    <t>Spese funzionamento biblioteca - servizi</t>
  </si>
  <si>
    <t>Contributo ad Enti per manifestazioni culturali</t>
  </si>
  <si>
    <t>Utenze impianti sportivi</t>
  </si>
  <si>
    <r>
      <t>TOTALE MISSIONE 8</t>
    </r>
    <r>
      <rPr>
        <b/>
        <sz val="10"/>
        <color indexed="12"/>
        <rFont val="Arial"/>
        <family val="2"/>
      </rPr>
      <t xml:space="preserve"> (Assetto del territorio ed edilizia abitativa)</t>
    </r>
    <r>
      <rPr>
        <b/>
        <sz val="10"/>
        <rFont val="Arial"/>
        <family val="2"/>
      </rPr>
      <t xml:space="preserve"> - PROGRAMMA 1</t>
    </r>
    <r>
      <rPr>
        <b/>
        <sz val="10"/>
        <color indexed="12"/>
        <rFont val="Arial"/>
        <family val="2"/>
      </rPr>
      <t xml:space="preserve"> (Urbanistica e assetto del territorio)</t>
    </r>
  </si>
  <si>
    <t>Incarichi professionali in materia urbanistica</t>
  </si>
  <si>
    <t>2.02.03.02.000</t>
  </si>
  <si>
    <t>Finanziamento ATO-Bacchiglione</t>
  </si>
  <si>
    <t>Manutenzioni idrauliche territorio comunale</t>
  </si>
  <si>
    <t>Spese parchi e giardini</t>
  </si>
  <si>
    <t>Quota TEFA alla Provincia su TARES</t>
  </si>
  <si>
    <t>Retribuzione personale area ecologica</t>
  </si>
  <si>
    <t>IRAP retribuzioni personale dipendente area ecologica</t>
  </si>
  <si>
    <t>Oneri contributivi personale dipendente area ecologica</t>
  </si>
  <si>
    <t>Spese smaltimento e trasporto rifiuti solidi urbani</t>
  </si>
  <si>
    <t>Consumo acqua per fontane pubbliche</t>
  </si>
  <si>
    <t>Retribuzione personale viabilità</t>
  </si>
  <si>
    <t>Oneri contributivi personale viabilità</t>
  </si>
  <si>
    <t>IRAP retribuzioni personale dipendente area viabilità</t>
  </si>
  <si>
    <t>Spese vestiario personale dipendente</t>
  </si>
  <si>
    <t>Spese segnaletica stradale</t>
  </si>
  <si>
    <t>Spese energia elettrica per illuminazione pubblica</t>
  </si>
  <si>
    <t>Spese mantenimento illuminazione pubblica</t>
  </si>
  <si>
    <t>2070/2</t>
  </si>
  <si>
    <t>2070/9</t>
  </si>
  <si>
    <t>Spese protezione civile</t>
  </si>
  <si>
    <t>Iniziative a favore degli anziani</t>
  </si>
  <si>
    <t>Realizzazione soggiorni climatici</t>
  </si>
  <si>
    <t>Spese diverse ufficio casa</t>
  </si>
  <si>
    <t>Contributi a privati interventi assistenziali</t>
  </si>
  <si>
    <t>9.01.01.02.000</t>
  </si>
  <si>
    <t>Incasso IVA per split payment</t>
  </si>
  <si>
    <t>Itinerario ciclabile collegamento via Valsolda-Via Marangoni</t>
  </si>
  <si>
    <t>2.03.01.02.000</t>
  </si>
  <si>
    <t>Rimborso a Regione Veneto trasferimento per alluvione 2010</t>
  </si>
  <si>
    <t>Ampliamento cimitero capoluogo</t>
  </si>
  <si>
    <t>Iniziative per lo sviluppo produttivo - Sportello Unico Attività Produttive</t>
  </si>
  <si>
    <t>Fondo di cassa presunto all'inizio dell'esercizio</t>
  </si>
  <si>
    <t xml:space="preserve">Utilizzo avanzo presunto di amministrazione </t>
  </si>
  <si>
    <t>Disavanzo  di  amministrazione</t>
  </si>
  <si>
    <t>Fondo pluriennale vincolato</t>
  </si>
  <si>
    <r>
      <rPr>
        <b/>
        <sz val="11"/>
        <color indexed="8"/>
        <rFont val="Calibri"/>
        <family val="2"/>
      </rPr>
      <t>Titolo 1</t>
    </r>
    <r>
      <rPr>
        <sz val="10"/>
        <rFont val="Arial"/>
        <family val="0"/>
      </rPr>
      <t xml:space="preserve"> - Entrate correnti di natura tributaria, contributiva e perequativa</t>
    </r>
  </si>
  <si>
    <r>
      <rPr>
        <b/>
        <sz val="11"/>
        <color indexed="8"/>
        <rFont val="Calibri"/>
        <family val="2"/>
      </rPr>
      <t>Titolo 1</t>
    </r>
    <r>
      <rPr>
        <sz val="10"/>
        <rFont val="Arial"/>
        <family val="0"/>
      </rPr>
      <t xml:space="preserve"> - Spese correnti</t>
    </r>
  </si>
  <si>
    <t xml:space="preserve"> - di cui fondo pluriennale vincolato</t>
  </si>
  <si>
    <r>
      <rPr>
        <b/>
        <sz val="11"/>
        <color indexed="8"/>
        <rFont val="Calibri"/>
        <family val="2"/>
      </rPr>
      <t>Titolo 2</t>
    </r>
    <r>
      <rPr>
        <sz val="10"/>
        <rFont val="Arial"/>
        <family val="0"/>
      </rPr>
      <t xml:space="preserve"> - Trasferimenti correnti</t>
    </r>
  </si>
  <si>
    <r>
      <rPr>
        <b/>
        <sz val="11"/>
        <color indexed="8"/>
        <rFont val="Calibri"/>
        <family val="2"/>
      </rPr>
      <t xml:space="preserve">Titolo 3 </t>
    </r>
    <r>
      <rPr>
        <sz val="10"/>
        <rFont val="Arial"/>
        <family val="0"/>
      </rPr>
      <t>- Entrate extratributarie</t>
    </r>
  </si>
  <si>
    <r>
      <rPr>
        <b/>
        <sz val="11"/>
        <color indexed="8"/>
        <rFont val="Calibri"/>
        <family val="2"/>
      </rPr>
      <t>Titolo 4</t>
    </r>
    <r>
      <rPr>
        <sz val="10"/>
        <rFont val="Arial"/>
        <family val="0"/>
      </rPr>
      <t xml:space="preserve"> - Entrate in conto capitale </t>
    </r>
  </si>
  <si>
    <t>Proventi per concessioni su beni (quota mutui servizio idrico integrato e quota discarica Grumolo)</t>
  </si>
  <si>
    <t>Iniziative per il sostegno all'occupazione - Compartecipazione gestione Centro per l'impiego</t>
  </si>
  <si>
    <r>
      <t>TOTALE PROGRAMMA 9</t>
    </r>
    <r>
      <rPr>
        <b/>
        <sz val="10"/>
        <color indexed="12"/>
        <rFont val="Arial"/>
        <family val="2"/>
      </rPr>
      <t xml:space="preserve"> (Assistenza tecnico-amministrativa agli enti locali )</t>
    </r>
  </si>
  <si>
    <r>
      <rPr>
        <b/>
        <sz val="11"/>
        <color indexed="8"/>
        <rFont val="Calibri"/>
        <family val="2"/>
      </rPr>
      <t>Titolo 2</t>
    </r>
    <r>
      <rPr>
        <sz val="10"/>
        <rFont val="Arial"/>
        <family val="0"/>
      </rPr>
      <t xml:space="preserve"> - Spese in conto capitale</t>
    </r>
  </si>
  <si>
    <r>
      <rPr>
        <b/>
        <sz val="11"/>
        <color indexed="8"/>
        <rFont val="Calibri"/>
        <family val="2"/>
      </rPr>
      <t>Titolo 5</t>
    </r>
    <r>
      <rPr>
        <sz val="10"/>
        <rFont val="Arial"/>
        <family val="0"/>
      </rPr>
      <t xml:space="preserve"> - Entrate da riduzione di attività finanziarie</t>
    </r>
  </si>
  <si>
    <r>
      <rPr>
        <b/>
        <sz val="11"/>
        <color indexed="8"/>
        <rFont val="Calibri"/>
        <family val="2"/>
      </rPr>
      <t>Titolo 3</t>
    </r>
    <r>
      <rPr>
        <sz val="10"/>
        <rFont val="Arial"/>
        <family val="0"/>
      </rPr>
      <t xml:space="preserve"> - Spese per incremento di attività finanziarie</t>
    </r>
  </si>
  <si>
    <r>
      <rPr>
        <b/>
        <sz val="11"/>
        <color indexed="8"/>
        <rFont val="Calibri"/>
        <family val="2"/>
      </rPr>
      <t>Titolo 6</t>
    </r>
    <r>
      <rPr>
        <sz val="10"/>
        <rFont val="Arial"/>
        <family val="0"/>
      </rPr>
      <t xml:space="preserve"> - Accensione di prestiti</t>
    </r>
  </si>
  <si>
    <r>
      <rPr>
        <b/>
        <sz val="11"/>
        <color indexed="8"/>
        <rFont val="Calibri"/>
        <family val="2"/>
      </rPr>
      <t xml:space="preserve">Titolo 4 </t>
    </r>
    <r>
      <rPr>
        <sz val="10"/>
        <rFont val="Arial"/>
        <family val="0"/>
      </rPr>
      <t>- Rimborso di prestiti</t>
    </r>
  </si>
  <si>
    <r>
      <rPr>
        <b/>
        <sz val="11"/>
        <color indexed="8"/>
        <rFont val="Calibri"/>
        <family val="2"/>
      </rPr>
      <t>Titolo 7</t>
    </r>
    <r>
      <rPr>
        <sz val="10"/>
        <rFont val="Arial"/>
        <family val="0"/>
      </rPr>
      <t xml:space="preserve"> - Anticipazioni da istituto tesoriere/cassiere</t>
    </r>
  </si>
  <si>
    <r>
      <rPr>
        <b/>
        <sz val="11"/>
        <color indexed="8"/>
        <rFont val="Calibri"/>
        <family val="2"/>
      </rPr>
      <t xml:space="preserve">Titolo 5 </t>
    </r>
    <r>
      <rPr>
        <sz val="10"/>
        <rFont val="Arial"/>
        <family val="0"/>
      </rPr>
      <t>- Chiusura Anticipazioni da istituto tesoriere/cassiere</t>
    </r>
  </si>
  <si>
    <r>
      <rPr>
        <b/>
        <sz val="11"/>
        <color indexed="8"/>
        <rFont val="Calibri"/>
        <family val="2"/>
      </rPr>
      <t>Titolo 9</t>
    </r>
    <r>
      <rPr>
        <sz val="10"/>
        <rFont val="Arial"/>
        <family val="0"/>
      </rPr>
      <t xml:space="preserve"> - Entrate per conto di terzi e partite di giro</t>
    </r>
  </si>
  <si>
    <r>
      <rPr>
        <b/>
        <sz val="11"/>
        <color indexed="8"/>
        <rFont val="Calibri"/>
        <family val="2"/>
      </rPr>
      <t xml:space="preserve">Titolo 7 </t>
    </r>
    <r>
      <rPr>
        <sz val="10"/>
        <rFont val="Arial"/>
        <family val="0"/>
      </rPr>
      <t>- Spese per conto terzi e partite di giro</t>
    </r>
  </si>
  <si>
    <t>Totale titoli</t>
  </si>
  <si>
    <t>TOTALE COMPLESSIVO ENTRATE</t>
  </si>
  <si>
    <t>TOTALE COMPLESSIVO SPESE</t>
  </si>
  <si>
    <t>PAREGGIO FINANZIARIO DI PARTE CORRENTE</t>
  </si>
  <si>
    <t>Fondo Pluriennale Vincolato per spese correnti</t>
  </si>
  <si>
    <t>Avanzo di amministrazione per spese correnti</t>
  </si>
  <si>
    <t>Fondo Pluriennale Vincolato per spese c/capitale</t>
  </si>
  <si>
    <t>Avanzo di amministrazione per spese in conto capitale</t>
  </si>
  <si>
    <t>Titolo 4 - Entrate in conto capitale</t>
  </si>
  <si>
    <t>PAREGGIO FINANZIARIO DI PARTE CAPITALE</t>
  </si>
  <si>
    <t>PAREGGIO FINANZIARIO COMPLESSIVO</t>
  </si>
  <si>
    <t>di cui : finanziato da debito</t>
  </si>
  <si>
    <t>Avanzo di amministrazione</t>
  </si>
  <si>
    <t>di cui : per spese correnti</t>
  </si>
  <si>
    <t>di cui : per spese in conto capitale</t>
  </si>
  <si>
    <t>di cui : Fondo Crediti di Dubbia Esigibilità</t>
  </si>
  <si>
    <t>di cui : Fondo rischi ed accantonamenti futuri</t>
  </si>
  <si>
    <t>Titolo 3 - Spese per incremento di attività finanziarie</t>
  </si>
  <si>
    <t>Avanzo di amministrazione applicato per spese correnti</t>
  </si>
  <si>
    <t>Avanzo di amministrazione applicato per investimenti</t>
  </si>
  <si>
    <t>Rimborso quota capitale mutui</t>
  </si>
  <si>
    <t>Interessi passivi mutui</t>
  </si>
  <si>
    <t>Interessi passivi mutui impianti sportivi</t>
  </si>
  <si>
    <t>TOTALE PROGRAMMA 4 (Interventi per i soggetti a rischio esclusione sociale)</t>
  </si>
  <si>
    <r>
      <t xml:space="preserve">TOTALE </t>
    </r>
    <r>
      <rPr>
        <b/>
        <sz val="10"/>
        <rFont val="Arial"/>
        <family val="2"/>
      </rPr>
      <t>PROGRAMMA 5</t>
    </r>
    <r>
      <rPr>
        <b/>
        <sz val="10"/>
        <color indexed="12"/>
        <rFont val="Arial"/>
        <family val="2"/>
      </rPr>
      <t xml:space="preserve"> (Interventi per le famiglie)</t>
    </r>
  </si>
  <si>
    <r>
      <t xml:space="preserve">TOTALE </t>
    </r>
    <r>
      <rPr>
        <b/>
        <sz val="10"/>
        <rFont val="Arial"/>
        <family val="2"/>
      </rPr>
      <t>PROGRAMMA 6</t>
    </r>
    <r>
      <rPr>
        <b/>
        <sz val="10"/>
        <color indexed="12"/>
        <rFont val="Arial"/>
        <family val="2"/>
      </rPr>
      <t xml:space="preserve"> (Interventi per il diritto alla casa)</t>
    </r>
  </si>
  <si>
    <t>PREVISIONE 2020                      (solo FPV)</t>
  </si>
  <si>
    <r>
      <t xml:space="preserve">TOTALE </t>
    </r>
    <r>
      <rPr>
        <b/>
        <sz val="10"/>
        <rFont val="Arial"/>
        <family val="2"/>
      </rPr>
      <t>PROGRAMMA 7</t>
    </r>
    <r>
      <rPr>
        <b/>
        <sz val="10"/>
        <color indexed="12"/>
        <rFont val="Arial"/>
        <family val="2"/>
      </rPr>
      <t xml:space="preserve"> (Programmazione e governo della rete dei servizi sociosanitari e sociali)</t>
    </r>
  </si>
  <si>
    <r>
      <t xml:space="preserve">TOTALE </t>
    </r>
    <r>
      <rPr>
        <b/>
        <sz val="10"/>
        <rFont val="Arial"/>
        <family val="2"/>
      </rPr>
      <t>PROGRAMMA 9</t>
    </r>
    <r>
      <rPr>
        <b/>
        <sz val="10"/>
        <color indexed="12"/>
        <rFont val="Arial"/>
        <family val="2"/>
      </rPr>
      <t xml:space="preserve"> (Servizio necroscopico e cimiteriale)</t>
    </r>
  </si>
  <si>
    <t>MISSIONE 14 - SVILUPPO ECONOMICO E COMPETITIVITA'</t>
  </si>
  <si>
    <t>TOTALE MISSIONE 14 - SVILUPPO ECONOMICO E COMPETITIVITA'</t>
  </si>
  <si>
    <r>
      <t xml:space="preserve">TOTALE </t>
    </r>
    <r>
      <rPr>
        <b/>
        <sz val="10"/>
        <rFont val="Arial"/>
        <family val="2"/>
      </rPr>
      <t xml:space="preserve">PROGRAMMA 4 </t>
    </r>
    <r>
      <rPr>
        <b/>
        <sz val="10"/>
        <color indexed="12"/>
        <rFont val="Arial"/>
        <family val="2"/>
      </rPr>
      <t>(Reti e altri servizi di pubblica utilità)</t>
    </r>
  </si>
  <si>
    <t>MISSIONE 15 - POLITICHE PER IL LAVORO E LA FORMAZIONE PROFESSIONALE</t>
  </si>
  <si>
    <t>TOTALE MISSIONE 15 - POLITICHE PER IL LAVORO E LA FORMAZIONE PROFESSIONALE</t>
  </si>
  <si>
    <r>
      <t xml:space="preserve">TOTALE </t>
    </r>
    <r>
      <rPr>
        <b/>
        <sz val="10"/>
        <rFont val="Arial"/>
        <family val="2"/>
      </rPr>
      <t xml:space="preserve">PROGRAMMA 1 </t>
    </r>
    <r>
      <rPr>
        <b/>
        <sz val="10"/>
        <color indexed="12"/>
        <rFont val="Arial"/>
        <family val="2"/>
      </rPr>
      <t>(Servizi per il mercato del lavoro)</t>
    </r>
  </si>
  <si>
    <t>MISSIONE 20 - FONDI E ACCANTONAMENTI</t>
  </si>
  <si>
    <r>
      <t>TOTALE PROGRAMMA 1</t>
    </r>
    <r>
      <rPr>
        <b/>
        <sz val="10"/>
        <color indexed="12"/>
        <rFont val="Arial"/>
        <family val="2"/>
      </rPr>
      <t xml:space="preserve"> (Fondo di riserva)</t>
    </r>
  </si>
  <si>
    <r>
      <t xml:space="preserve">TOTALE PROGRAMMA 2 - </t>
    </r>
    <r>
      <rPr>
        <b/>
        <sz val="10"/>
        <color indexed="12"/>
        <rFont val="Arial"/>
        <family val="2"/>
      </rPr>
      <t>(Fondo crediti di dubbia esigibilità)</t>
    </r>
  </si>
  <si>
    <r>
      <t>TOTALE PROGRAMMA 3 -</t>
    </r>
    <r>
      <rPr>
        <b/>
        <sz val="10"/>
        <color indexed="12"/>
        <rFont val="Arial"/>
        <family val="2"/>
      </rPr>
      <t xml:space="preserve"> (Altri fondi)</t>
    </r>
  </si>
  <si>
    <t>TOTALE MISSIONE 20 - FONDI E ACCANTONAMENTI</t>
  </si>
  <si>
    <r>
      <t xml:space="preserve">TOTALE </t>
    </r>
    <r>
      <rPr>
        <b/>
        <sz val="10"/>
        <rFont val="Arial"/>
        <family val="2"/>
      </rPr>
      <t>PROGRAMMA 1</t>
    </r>
    <r>
      <rPr>
        <b/>
        <sz val="10"/>
        <color indexed="12"/>
        <rFont val="Arial"/>
        <family val="2"/>
      </rPr>
      <t xml:space="preserve"> (Organi istituzionali)</t>
    </r>
  </si>
  <si>
    <r>
      <t>TOTALE</t>
    </r>
    <r>
      <rPr>
        <b/>
        <sz val="10"/>
        <rFont val="Arial"/>
        <family val="2"/>
      </rPr>
      <t xml:space="preserve"> PROGRAMMA 1 </t>
    </r>
    <r>
      <rPr>
        <b/>
        <sz val="10"/>
        <color indexed="12"/>
        <rFont val="Arial"/>
        <family val="2"/>
      </rPr>
      <t>(Polizia locale e amministrativa)</t>
    </r>
  </si>
  <si>
    <r>
      <t xml:space="preserve">TOTALE </t>
    </r>
    <r>
      <rPr>
        <b/>
        <sz val="10"/>
        <rFont val="Arial"/>
        <family val="2"/>
      </rPr>
      <t xml:space="preserve">PROGRAMMA 1 </t>
    </r>
    <r>
      <rPr>
        <b/>
        <sz val="10"/>
        <color indexed="12"/>
        <rFont val="Arial"/>
        <family val="2"/>
      </rPr>
      <t>(Istruzione prescolatica)</t>
    </r>
  </si>
  <si>
    <r>
      <t xml:space="preserve">TOTALE </t>
    </r>
    <r>
      <rPr>
        <b/>
        <sz val="10"/>
        <rFont val="Arial"/>
        <family val="2"/>
      </rPr>
      <t xml:space="preserve">PROGRAMMA 2 </t>
    </r>
    <r>
      <rPr>
        <b/>
        <sz val="10"/>
        <color indexed="12"/>
        <rFont val="Arial"/>
        <family val="2"/>
      </rPr>
      <t>(Altri ordini di istruzione)</t>
    </r>
  </si>
  <si>
    <r>
      <t xml:space="preserve">TOTALE </t>
    </r>
    <r>
      <rPr>
        <b/>
        <sz val="10"/>
        <rFont val="Arial"/>
        <family val="2"/>
      </rPr>
      <t>PROGRAMMA 6</t>
    </r>
    <r>
      <rPr>
        <b/>
        <sz val="10"/>
        <color indexed="12"/>
        <rFont val="Arial"/>
        <family val="2"/>
      </rPr>
      <t xml:space="preserve"> (Servizi ausiliari all'istruzione)</t>
    </r>
  </si>
  <si>
    <r>
      <t>TOTALE PROGRAMMA 6</t>
    </r>
    <r>
      <rPr>
        <b/>
        <sz val="10"/>
        <color indexed="12"/>
        <rFont val="Arial"/>
        <family val="2"/>
      </rPr>
      <t xml:space="preserve"> (Tutela e valorizzazione delle risorse idriche)</t>
    </r>
  </si>
  <si>
    <r>
      <t xml:space="preserve">TOTALE </t>
    </r>
    <r>
      <rPr>
        <b/>
        <sz val="10"/>
        <rFont val="Arial"/>
        <family val="2"/>
      </rPr>
      <t>PROGRAMMA 1</t>
    </r>
    <r>
      <rPr>
        <b/>
        <sz val="10"/>
        <color indexed="12"/>
        <rFont val="Arial"/>
        <family val="2"/>
      </rPr>
      <t xml:space="preserve"> (Sistema di protezione civile)</t>
    </r>
  </si>
  <si>
    <r>
      <t xml:space="preserve">TOTALE </t>
    </r>
    <r>
      <rPr>
        <b/>
        <sz val="10"/>
        <rFont val="Arial"/>
        <family val="2"/>
      </rPr>
      <t>PROGRAMMA 2</t>
    </r>
    <r>
      <rPr>
        <b/>
        <sz val="10"/>
        <color indexed="12"/>
        <rFont val="Arial"/>
        <family val="2"/>
      </rPr>
      <t xml:space="preserve"> (Interventi a seguito di calamità naturali)</t>
    </r>
  </si>
  <si>
    <r>
      <t>TOTALE PROGRAMMA 8</t>
    </r>
    <r>
      <rPr>
        <b/>
        <sz val="10"/>
        <color indexed="12"/>
        <rFont val="Arial"/>
        <family val="2"/>
      </rPr>
      <t xml:space="preserve"> (Cooperazione e associazionismo)</t>
    </r>
  </si>
  <si>
    <r>
      <t>TOTALE PROGRAMMA 2</t>
    </r>
    <r>
      <rPr>
        <b/>
        <sz val="10"/>
        <color indexed="12"/>
        <rFont val="Arial"/>
        <family val="2"/>
      </rPr>
      <t xml:space="preserve"> (Commercio, reti distributive, tutela dei consumatori)</t>
    </r>
  </si>
  <si>
    <r>
      <t>TOTALE PROGRAMMA 1</t>
    </r>
    <r>
      <rPr>
        <b/>
        <sz val="10"/>
        <color indexed="12"/>
        <rFont val="Arial"/>
        <family val="2"/>
      </rPr>
      <t xml:space="preserve"> (Restituzione anticipazione di tesoreria)</t>
    </r>
  </si>
  <si>
    <r>
      <t xml:space="preserve">TOTALE PROGRAMMA 2 </t>
    </r>
    <r>
      <rPr>
        <b/>
        <sz val="10"/>
        <color indexed="12"/>
        <rFont val="Arial"/>
        <family val="2"/>
      </rPr>
      <t>(Debito pubblico)</t>
    </r>
  </si>
  <si>
    <r>
      <t xml:space="preserve">TOTALE MISSIONE 99 - PROGRAMMA 1 </t>
    </r>
    <r>
      <rPr>
        <b/>
        <sz val="10"/>
        <color indexed="12"/>
        <rFont val="Arial"/>
        <family val="2"/>
      </rPr>
      <t>(Servizi per conto terzi)</t>
    </r>
  </si>
  <si>
    <t xml:space="preserve">Fondo di cassa finale presunto </t>
  </si>
  <si>
    <t>TOTALE TITOLO VII - ANTICIPAZIONI DA ISTITUTO TESORIERE/CASSIERE</t>
  </si>
  <si>
    <t>TITOLO 4 - RIMBORSO PRESTITI</t>
  </si>
  <si>
    <t>TOTALE TITOLO 4 - RIMBORSO PRESTITI</t>
  </si>
  <si>
    <t>Totale spese finali</t>
  </si>
  <si>
    <t>Totale entrate finali</t>
  </si>
  <si>
    <t>QUADRO GENERALE RIASSUNTIVO</t>
  </si>
  <si>
    <t>BILANCIO DI PREVISIONE</t>
  </si>
  <si>
    <t>EQUILIBRIO ECONOMICO-FINANZIARIO</t>
  </si>
  <si>
    <t xml:space="preserve">Fondo di cassa all'inizio dell'esercizio </t>
  </si>
  <si>
    <t>A) Fondo pluriennale vincolato di entrata per spese correnti</t>
  </si>
  <si>
    <t>(+)</t>
  </si>
  <si>
    <t>AA) Recupero disavanzo di amministrazione esercizio precedente</t>
  </si>
  <si>
    <t>(-)</t>
  </si>
  <si>
    <t>B) Entrate Titoli 1.00 - 2.00 - 3.00</t>
  </si>
  <si>
    <t xml:space="preserve">    di cui per estinzione anticipata di prestiti</t>
  </si>
  <si>
    <t>C) Entrate Titolo 4.02.06 - Contributi agli investimenti direttamente destinati al rimborso dei prestiti da amministrazioni pubbliche</t>
  </si>
  <si>
    <t>D)Spese Titolo 1.00 -  Spese correnti</t>
  </si>
  <si>
    <t xml:space="preserve">     di cui:</t>
  </si>
  <si>
    <t xml:space="preserve">               - fondo pluriennale vincolato</t>
  </si>
  <si>
    <t xml:space="preserve">               - fondo crediti di dubbia esigibilità </t>
  </si>
  <si>
    <t>E) Spese Titolo 2.04 -  Altri trasferimenti in conto capitale</t>
  </si>
  <si>
    <t>F) Spese Titolo 4.00 -  Quote di capitale amm.to dei mutui e prestiti obbligazionari</t>
  </si>
  <si>
    <t xml:space="preserve"> G) Somma finale (G=A-AA+B+C-D-E-F)</t>
  </si>
  <si>
    <t>ALTRE POSTE DIFFERENZIALI, PER ECCEZIONI PREVISTE DA NORME DI LEGGE, CHE  HANNO EFFETTO SULL’EQUILIBRIO  EX ARTICOLO 162, COMMA 6,  DEL TESTO UNICO DELLE LEGGI SULL’ORDINAMENTO DEGLI ENTI LOCALI</t>
  </si>
  <si>
    <t>H) Utilizzo avanzo di amministrazione per spese correnti</t>
  </si>
  <si>
    <t xml:space="preserve"> -</t>
  </si>
  <si>
    <t>I) Entrate di parte capitale destinate a spese correnti in base a specifiche disposizioni di legge</t>
  </si>
  <si>
    <t>L) Entrate di parte corrente destinate a spese di investimento in base a specifiche disposizioni di legge</t>
  </si>
  <si>
    <t>M) Entrate da accensione di prestiti destinate a estinzione anticipata dei prestiti</t>
  </si>
  <si>
    <t>EQUILIBRIO DI PARTE CORRENTE (**)</t>
  </si>
  <si>
    <t>O=G+H+I-L+M</t>
  </si>
  <si>
    <t>P) Utilizzo avanzo di amministrazione per spese di investimento</t>
  </si>
  <si>
    <t>Q) Fondo pluriennale vincolato di entrata per spese in conto capitale</t>
  </si>
  <si>
    <t>R) Entrate Titoli 4.00-5.00-6.00</t>
  </si>
  <si>
    <t>S1) Entrate Titolo 5.02 per Riscossione crediti di breve termine</t>
  </si>
  <si>
    <t>S2) Entrate Titolo 5.03 per Riscossione crediti di medio-lungo termine</t>
  </si>
  <si>
    <t>T) Entrate Titolo 5.04 relative a Altre entrate per riduzioni di attività finanziaria</t>
  </si>
  <si>
    <t>U) Spese Titolo 2.00 - Spese in conto capitale</t>
  </si>
  <si>
    <t xml:space="preserve">     di cui fondo pluriennale vincolato di spesa</t>
  </si>
  <si>
    <t>V) Spese Titolo 3.01 per Acquisizioni di attività finanziarie</t>
  </si>
  <si>
    <t>EQUILIBRIO DI PARTE CAPITALE</t>
  </si>
  <si>
    <t>Z = P+Q+R-C-I-S1-S2-T+L-U-V+E</t>
  </si>
  <si>
    <t>X1) Spese Titolo 3.02 per Concessione crediti di breve termine</t>
  </si>
  <si>
    <t>X2) Spese Titolo 3.03 per Concessione crediti di medio-lungo termine</t>
  </si>
  <si>
    <t>Y) Spese Titolo 3.04 per Altre spese per acquisizioni di attività finanziarie</t>
  </si>
  <si>
    <t>EQUILIBRIO FINALE</t>
  </si>
  <si>
    <t>W = O+Z+S1+S2+T-X1-X2-Y</t>
  </si>
  <si>
    <t>C) Si tratta delle entrate in conto capitale relative ai soli contributi agli investimenti destinati al rimborso prestiti corrispondenti alla voce del piano dei conti finanziario con codifica E.4.02.06.00.000.</t>
  </si>
  <si>
    <t>E) Si tratta delle spese del titolo 2 per trasferimenti in conto capitale corrispondenti alla voce del piano dei conti finanziario con codifica U.2.04.00.00.000.</t>
  </si>
  <si>
    <t>S1) Si tratta delle entrate del titolo 5 limitatamente alle riscossione crediti di breve termine corrispondenti alla voce del piano dei conti finanziario con codifica E.5.02.00.00.000.</t>
  </si>
  <si>
    <t>Oneri contributivi su compensi lavoro straordinario elezioni amministrative</t>
  </si>
  <si>
    <t>Spese per elezioni amministrative (compensi al personale)</t>
  </si>
  <si>
    <t>di cui : Fondo Pluriennale Vincolato rinveniente da debito FPV SPESA)</t>
  </si>
  <si>
    <t>Rimborso spese di viaggio segretario comunale</t>
  </si>
  <si>
    <t>Trasferimento della Regione per libri di testo</t>
  </si>
  <si>
    <t>Trasferimento della Regione per borse di studio</t>
  </si>
  <si>
    <t>S2) Si tratta delle entrate del titolo 5 limitatamente alle riscossione crediti di medio-lungo termine corrispondenti alla voce del piano dei conti finanziario con codifica E.5.03.00.00.000.</t>
  </si>
  <si>
    <t>T) Si tratta delle entrate del titolo 5 limitatamente alle altre entrate per riduzione di attività finanziarie corrispondenti alla voce del piano dei conti finanziario con codifica E.5.04.00.00.000.</t>
  </si>
  <si>
    <t>X1) Si tratta delle spese del titolo 3 limitatamente alle concessione crediti di breve termine corrispondenti alla voce del piano dei conti finanziario con codifica U.3.02.00.00.000.</t>
  </si>
  <si>
    <t>X2) Si tratta delle spese del titolo 3 limitatamente alle concessione crediti di medio-lungo termine corrispondenti alla voce del piano dei conti finanziario con codifica U.3.03.00.00.000.</t>
  </si>
  <si>
    <t>500</t>
  </si>
  <si>
    <t>Y) Si tratta delle spese del titolo 3 limitatamente alle altre spese per incremento di attività finanziarie corrispondenti alla voce del piano dei conti finanziario con codifica U.3.04.00.00.000.</t>
  </si>
  <si>
    <t xml:space="preserve">(**) La somma algebrica finale non può essere inferiore a zero per il rispetto della disposizione di cui all’articolo 162 del testo unico delle leggi sull’ordinamento degli enti locali. </t>
  </si>
  <si>
    <t>Ritenute del 4% sui contributi pubblici</t>
  </si>
  <si>
    <t>4002/1</t>
  </si>
  <si>
    <t>Alienazione terreno ex cimitero via Castello</t>
  </si>
  <si>
    <t>Interessi passivi mutui (Cassa DD.PP.)</t>
  </si>
  <si>
    <t>Interessi passivi mutui (nuovo ecocentro) (Cassa DD.PP.)</t>
  </si>
  <si>
    <t>Tributo sui servizi (TASI)</t>
  </si>
  <si>
    <t>Manutenzione cimitero comunale</t>
  </si>
  <si>
    <t>Piano dei conti</t>
  </si>
  <si>
    <t>1.03.01.01.000</t>
  </si>
  <si>
    <t>3.02.02.01.000</t>
  </si>
  <si>
    <t>9.01.02.02.000</t>
  </si>
  <si>
    <t>9.02.99.99.000</t>
  </si>
  <si>
    <t>9.01.02.01.000</t>
  </si>
  <si>
    <t>9.01.03.01.000</t>
  </si>
  <si>
    <t>1.01.01.08.000</t>
  </si>
  <si>
    <t>1.01.01.06.000</t>
  </si>
  <si>
    <t>1.01.01.16.000</t>
  </si>
  <si>
    <t>1.01.01.61.000</t>
  </si>
  <si>
    <t>2.01.01.01.000</t>
  </si>
  <si>
    <t>2.01.01.02.000</t>
  </si>
  <si>
    <t>3.01.02.01.000</t>
  </si>
  <si>
    <t>3.03.03.99.000</t>
  </si>
  <si>
    <t>3.03.03.03.000</t>
  </si>
  <si>
    <t>3.01.03.01.000</t>
  </si>
  <si>
    <t>Ritenute previdenziali su redditi da lavoro autonomo per conto terzi</t>
  </si>
  <si>
    <t>Ritenute su redditi di lavoro autonomo</t>
  </si>
  <si>
    <t>Fondo Pluriennale Vincolato per Spese correnti</t>
  </si>
  <si>
    <t>Fondo Pluriennale Vincolato per Spese in conto capitale</t>
  </si>
  <si>
    <t>IVA per servizi da attività commerciali</t>
  </si>
  <si>
    <t>Versamento IVA per servizi su attività commerciali</t>
  </si>
  <si>
    <t>oneri di urbanizzazione per spese correnti</t>
  </si>
  <si>
    <t>Servizi conto terzi - IVA per split payment</t>
  </si>
  <si>
    <t>Capitolo</t>
  </si>
  <si>
    <t>COMUNE DI MONTEGALDA</t>
  </si>
  <si>
    <t>Trasferimenti correnti Stato a carattere generale</t>
  </si>
  <si>
    <t>Funzioni nel settore sociale</t>
  </si>
  <si>
    <t>Rimborso spese funzionamento Istituto Comprensivo</t>
  </si>
  <si>
    <t>Canone occupazione spazi ed aree pubbliche</t>
  </si>
  <si>
    <t>Interessi attivi su depositi</t>
  </si>
  <si>
    <t>Compartecipazione spesa per testi scolastici</t>
  </si>
  <si>
    <t>Anticipazione da istituto tesoriere/cassiere</t>
  </si>
  <si>
    <t>Chiusura anticipazione da istituto tesoriere/cassiere</t>
  </si>
  <si>
    <t>6002/1</t>
  </si>
  <si>
    <t>Compenso al revisore</t>
  </si>
  <si>
    <t>150/1</t>
  </si>
  <si>
    <t>Spese varie uffici comunali - servizi amministrativi</t>
  </si>
  <si>
    <t>Spese gestione patrimonio disponibile</t>
  </si>
  <si>
    <t>Spese funzionamento ufficio tecnico</t>
  </si>
  <si>
    <t>Spese progettazioni opere pubbliche</t>
  </si>
  <si>
    <t>Retribuzioni ufficio demografico</t>
  </si>
  <si>
    <t>Oneri contributivi ufficio demografico</t>
  </si>
  <si>
    <t>IRAP retribuzioni ufficio demografico</t>
  </si>
  <si>
    <t>Spese per consultazioni elettorali e popolari</t>
  </si>
  <si>
    <t>Spesa per assistenza programmi e macchine uffici</t>
  </si>
  <si>
    <t>Provvedimenti sicurezza (L. 626)</t>
  </si>
  <si>
    <t>Acquisto materiale per uffici comunali</t>
  </si>
  <si>
    <t>Spese per pulizie uffici</t>
  </si>
  <si>
    <t>Aggiornamento a giornali e riviste</t>
  </si>
  <si>
    <t>Rimborso spese per missioni del personale</t>
  </si>
  <si>
    <t>Fondo salario accessorio</t>
  </si>
  <si>
    <t>Carburanti automezzi comunali</t>
  </si>
  <si>
    <t>680/1</t>
  </si>
  <si>
    <t>Tassa di proprietà automezzi comunali</t>
  </si>
  <si>
    <t>680/2</t>
  </si>
  <si>
    <t>Manutenzione parco automezzi comunali</t>
  </si>
  <si>
    <t>Acquisto mobili ed attrezzature per uffici</t>
  </si>
  <si>
    <r>
      <t xml:space="preserve">TOTALE MISSIONE 4 </t>
    </r>
    <r>
      <rPr>
        <b/>
        <sz val="10"/>
        <color indexed="12"/>
        <rFont val="Arial"/>
        <family val="2"/>
      </rPr>
      <t>(Istruzione e diritto allo studio)</t>
    </r>
    <r>
      <rPr>
        <b/>
        <sz val="10"/>
        <rFont val="Arial"/>
        <family val="2"/>
      </rPr>
      <t xml:space="preserve"> - PROGRAMMA 2 </t>
    </r>
    <r>
      <rPr>
        <b/>
        <sz val="10"/>
        <color indexed="12"/>
        <rFont val="Arial"/>
        <family val="2"/>
      </rPr>
      <t>(Altri ordini di istruzione)</t>
    </r>
  </si>
  <si>
    <t>Utenze telefoniche per Istituto Comprensivo</t>
  </si>
  <si>
    <t>Contributo per funzionamento scuole elementari</t>
  </si>
  <si>
    <t>1.04.02.05.000</t>
  </si>
  <si>
    <t>Servizio necroscopico cimiteriale (concessioni cmiteriali)</t>
  </si>
  <si>
    <t>Proventi illuminazione votiva</t>
  </si>
  <si>
    <t>3.05.09.99.000</t>
  </si>
  <si>
    <t>Proventi utilizzo beni di proprietà comunale</t>
  </si>
  <si>
    <t>Utenze scuole medie</t>
  </si>
  <si>
    <t>Contributo per funzionamento scuole medie</t>
  </si>
  <si>
    <t>Contributo regionale per fornitura gratuita libri di testo</t>
  </si>
  <si>
    <t>Contributo regionale per borse di studio alunni e studenti</t>
  </si>
  <si>
    <t>Rimborso anticipazione di fondi economato</t>
  </si>
  <si>
    <t>Rimborso spese servizio tesoreria</t>
  </si>
  <si>
    <t>Anticipazione fondo servizio economato</t>
  </si>
  <si>
    <t>Allegato a)  Risultato presunto di amministrazione</t>
  </si>
  <si>
    <t>=</t>
  </si>
  <si>
    <t>+</t>
  </si>
  <si>
    <t xml:space="preserve">- </t>
  </si>
  <si>
    <t>B) Totale parte accantonata</t>
  </si>
  <si>
    <t xml:space="preserve">Parte vincolata </t>
  </si>
  <si>
    <t xml:space="preserve">Vincoli derivanti da leggi e dai principi contabili </t>
  </si>
  <si>
    <t>Vincoli derivanti da trasferimenti</t>
  </si>
  <si>
    <t>Vincoli derivanti dalla contrazione di mutui</t>
  </si>
  <si>
    <t xml:space="preserve">Vincoli formalmente attribuiti dall'ente </t>
  </si>
  <si>
    <t>C) Totale parte vincolata</t>
  </si>
  <si>
    <t>Parte destinata agli investimenti</t>
  </si>
  <si>
    <t>D) Totale destinata agli investimenti</t>
  </si>
  <si>
    <t>E) Totale parte disponibile (E=A-B-C-D)</t>
  </si>
  <si>
    <t>Utilizzo quota vincolata</t>
  </si>
  <si>
    <t xml:space="preserve">Utilizzo vincoli derivanti da leggi e dai principi contabili </t>
  </si>
  <si>
    <t>Utilizzo vincoli derivanti da trasferimenti</t>
  </si>
  <si>
    <t>Utilizzo vincoli derivanti dalla contrazione di mutui</t>
  </si>
  <si>
    <t xml:space="preserve">Utilizzo vincoli formalmente attribuiti dall'ente </t>
  </si>
  <si>
    <t>Totale utilizzo avanzo di amministrazione presunto</t>
  </si>
  <si>
    <t>(* )</t>
  </si>
  <si>
    <t>Indicare gli anni di riferimento N e N-1.</t>
  </si>
  <si>
    <t>(1)</t>
  </si>
  <si>
    <t>Indicare l'importo del fondo pluriennale vincolato totale stanziato in entrata  del bilancio di previsione per l'esercizio  N.</t>
  </si>
  <si>
    <t>(2)</t>
  </si>
  <si>
    <t>Se negativo, le regioni indicano in nota la quota del disavanzo corrispondente al debito autorizzato e non contratto, distintamente da quella derivante dalla gestione ordinaria.</t>
  </si>
  <si>
    <t>(3)</t>
  </si>
  <si>
    <t>Non comprende il fondo pluriennale vincolato.</t>
  </si>
  <si>
    <t>(4)</t>
  </si>
  <si>
    <t>Indicare l'importo del  fondo crediti di dubbia esigibilità risultante nel prospetto del risultato di amministrazione allegato al consuntivo dell'esercizio N-2, incrementato dell'accantonamento al fondo crediti di dubbia esigibilità stanziato nel bilancio di previsione N-1 (importo aggiornato), al netto degli eventuali utilizzi del fondo successivi all'approvazione del consuntivo N-2. Se il bilancio di previsione dell'esercizio N-1 è approvato nel corso dell'esercizio N, indicare, sulla base dei dati di preconsuntivo o di consuntivo, l'importo del fondo crediti di dubbia esigibilità del prospetto del risultato di amministrazione del rendiconto dell'esercizio N-1.</t>
  </si>
  <si>
    <t>(5)</t>
  </si>
  <si>
    <t>Indicare l'importo del  fondo ...... risultante nel prospetto del risultato di amministrazione allegato al consuntivo dell'esercizio N-2, incrementato dell'importo realtivo al fondo ....... stanziato nel bilancio di previsione N-1 (importo aggiornato), al netto degli eventuali utilizzi del fondo successivi all'approvazione del consuntivo N-2. Se il bilancio di previsione dell'esercizio N è approvato nel corso dell'esercizio N, indicare, sulla base dei dati di preconsuntivo o di consuntivo, l'importo del fondo ............ indicato nel prospetto del risultato di amministrazione del rendiconto dell'esercizio N.</t>
  </si>
  <si>
    <t>(6)</t>
  </si>
  <si>
    <t>Allegato d) - Limiti di indebitamento Enti Locali</t>
  </si>
  <si>
    <t>PROSPETTO DIMOSTRATIVO  DEL RISPETTO DEI VINCOLI DI INDEBITAMENTO DEGLI ENTI LOCALI</t>
  </si>
  <si>
    <t>1) Entrate correnti di natura tributaria, contributiva e perequativa (Titolo I)</t>
  </si>
  <si>
    <t>2) Trasferimenti correnti (titolo II)</t>
  </si>
  <si>
    <t>3) Entrate extratributarie  (titolo III)</t>
  </si>
  <si>
    <t>TOTALE ENTRATE PRIMI TRE TITOLI</t>
  </si>
  <si>
    <t>SPESA ANNUALE PER RATE MUTUI/OBBLIGAZIONI</t>
  </si>
  <si>
    <t xml:space="preserve">Livello massimo di spesa annuale (10%) (1): </t>
  </si>
  <si>
    <t>Contributi contributi erariali in c/interessi su mutui</t>
  </si>
  <si>
    <t>Ammontare interessi riguardanti debiti espressamente esclusi dai limiti di indebitamento</t>
  </si>
  <si>
    <t>Ammontare disponibile per nuovi interessi</t>
  </si>
  <si>
    <t>TOTALE DEBITO CONTRATTO</t>
  </si>
  <si>
    <t>TOTALE DEBITO DELL'ENTE</t>
  </si>
  <si>
    <t>DEBITO POTENZIALE</t>
  </si>
  <si>
    <t>Garanzie principali o sussidiarie prestate dall'Ente a favore di altre Amministrazioni pubbliche e di altri soggetti</t>
  </si>
  <si>
    <t>di cui, garanzie per le quali è stato costituito accantonamento</t>
  </si>
  <si>
    <t>Garanzie che concorrono al limite di indebitamento</t>
  </si>
  <si>
    <t>TOTALE INTERESSI PASSIVI</t>
  </si>
  <si>
    <t>PERCENTUALE DI INDEBITAMENTO</t>
  </si>
  <si>
    <t>(1) -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il 10 per cento delle entrate relative ai primi tre titoli delle entrate del rendiconto del penultimo anno precedente quello in cui viene prevista l'assunzione dei mutui. Per le comunità montane si fa riferimento ai primi due titoli delle entrate. Per gli enti locali di nuova istituzione si fa riferimento, per i primi due anni, ai corrispondenti dati finanziari del bilancio di previsione.</t>
  </si>
  <si>
    <t xml:space="preserve">(2) Con riferimento anche ai finanziamenti imputati contabilmente agli esercizi successivi </t>
  </si>
  <si>
    <t>Ammontare interessi per mutui, prestiti obbligazionari, aperture di credito e garanzie di cui all'articolo 207 del TUEL autorizzati nell'esercizio in corso (2020)</t>
  </si>
  <si>
    <t>Contributo Regione per ampliamento cimitero Colzè</t>
  </si>
  <si>
    <t>TABELLA DIMOSTRATIVA DEL RISULTATO DI AMMINISTRAZIONE PRESUNTO
(ALL'INIZIO DELL'ESERCIZIO N DI RIFERIMENTO DEL BILANCIO DI PREVISIONE)*</t>
  </si>
  <si>
    <t>1) Determinazione del risultato di amministrazione presunto al 31/12 N-1:</t>
  </si>
  <si>
    <t>Risultato di amministrazione iniziale dell'esercizio N-1</t>
  </si>
  <si>
    <t>Fondo pluriennale vincolato iniziale dell'esercizio N-1</t>
  </si>
  <si>
    <t>Entrate già accertate nell'esercizio N-1</t>
  </si>
  <si>
    <t>Uscite già impegnate nell'esercizio N-1</t>
  </si>
  <si>
    <r>
      <t>Riduzione dei residui attivi già verificatasi nell'esercizio N-1</t>
    </r>
    <r>
      <rPr>
        <b/>
        <vertAlign val="superscript"/>
        <sz val="11"/>
        <rFont val="Calibri"/>
        <family val="2"/>
      </rPr>
      <t xml:space="preserve"> </t>
    </r>
  </si>
  <si>
    <r>
      <t>Incremento  dei residui attivi già verificatasi nell'esercizio N-1</t>
    </r>
    <r>
      <rPr>
        <b/>
        <vertAlign val="superscript"/>
        <sz val="11"/>
        <rFont val="Calibri"/>
        <family val="2"/>
      </rPr>
      <t xml:space="preserve"> </t>
    </r>
  </si>
  <si>
    <r>
      <t>Riduzione dei residui passivi già verificatasi nell'esercizio N-1</t>
    </r>
    <r>
      <rPr>
        <b/>
        <vertAlign val="superscript"/>
        <sz val="11"/>
        <rFont val="Calibri"/>
        <family val="2"/>
      </rPr>
      <t xml:space="preserve"> </t>
    </r>
  </si>
  <si>
    <t>Risultato di amministrazione dell'esercizio N-1 alla data di redazione del bilancio di previsione dell'anno N</t>
  </si>
  <si>
    <r>
      <t>Entrate che prevedo di accertare  per il restante periodo</t>
    </r>
    <r>
      <rPr>
        <sz val="11"/>
        <rFont val="Calibri"/>
        <family val="2"/>
      </rPr>
      <t xml:space="preserve"> dell'esercizio N-1</t>
    </r>
  </si>
  <si>
    <r>
      <t xml:space="preserve">Spese che prevedo di impegnare per il restante periodo </t>
    </r>
    <r>
      <rPr>
        <sz val="11"/>
        <rFont val="Calibri"/>
        <family val="2"/>
      </rPr>
      <t>dell'esercizio N-1</t>
    </r>
  </si>
  <si>
    <r>
      <t xml:space="preserve">Riduzione dei residui attivi presunta per il restante periodo </t>
    </r>
    <r>
      <rPr>
        <sz val="11"/>
        <rFont val="Calibri"/>
        <family val="2"/>
      </rPr>
      <t>dell'esercizio N-1</t>
    </r>
  </si>
  <si>
    <r>
      <t xml:space="preserve">Incremento dei residui attivi presunto per il restante periodo </t>
    </r>
    <r>
      <rPr>
        <sz val="11"/>
        <rFont val="Calibri"/>
        <family val="2"/>
      </rPr>
      <t>dell'esercizio N-1</t>
    </r>
  </si>
  <si>
    <r>
      <t xml:space="preserve">Riduzione dei residui passivi presunta per il restante periodo </t>
    </r>
    <r>
      <rPr>
        <sz val="11"/>
        <rFont val="Calibri"/>
        <family val="2"/>
      </rPr>
      <t>dell'esercizio N-1</t>
    </r>
  </si>
  <si>
    <r>
      <t>Fondo pluriennale vincolato</t>
    </r>
    <r>
      <rPr>
        <sz val="11"/>
        <rFont val="Calibri"/>
        <family val="2"/>
      </rPr>
      <t xml:space="preserve"> finale presunto dell'esercizio N-1 </t>
    </r>
    <r>
      <rPr>
        <b/>
        <vertAlign val="superscript"/>
        <sz val="11"/>
        <rFont val="Calibri"/>
        <family val="2"/>
      </rPr>
      <t>(1)</t>
    </r>
  </si>
  <si>
    <r>
      <t xml:space="preserve">2) Composizione del risultato di amministrazione  </t>
    </r>
    <r>
      <rPr>
        <b/>
        <sz val="11"/>
        <rFont val="Calibri"/>
        <family val="2"/>
      </rPr>
      <t xml:space="preserve">presunto al 31/12 N-1: </t>
    </r>
  </si>
  <si>
    <r>
      <t>Parte accantonata</t>
    </r>
    <r>
      <rPr>
        <sz val="11"/>
        <color indexed="8"/>
        <rFont val="Calibri"/>
        <family val="2"/>
      </rPr>
      <t xml:space="preserve"> </t>
    </r>
    <r>
      <rPr>
        <b/>
        <vertAlign val="superscript"/>
        <sz val="11"/>
        <color indexed="8"/>
        <rFont val="Calibri"/>
        <family val="2"/>
      </rPr>
      <t>(3)</t>
    </r>
  </si>
  <si>
    <r>
      <t>Fondo crediti di dubbia esigibilità al 31/12/N-1</t>
    </r>
    <r>
      <rPr>
        <vertAlign val="superscript"/>
        <sz val="11"/>
        <rFont val="Calibri"/>
        <family val="2"/>
      </rPr>
      <t xml:space="preserve"> (4)</t>
    </r>
  </si>
  <si>
    <r>
      <t xml:space="preserve">Accantonamento residui perenti al 31/12/…. (solo per le regioni) </t>
    </r>
    <r>
      <rPr>
        <vertAlign val="superscript"/>
        <sz val="11"/>
        <rFont val="Calibri"/>
        <family val="2"/>
      </rPr>
      <t>(</t>
    </r>
    <r>
      <rPr>
        <vertAlign val="superscript"/>
        <sz val="11"/>
        <rFont val="Calibri"/>
        <family val="2"/>
      </rPr>
      <t>5)</t>
    </r>
  </si>
  <si>
    <r>
      <t>Fondo  perdite società partecipate</t>
    </r>
    <r>
      <rPr>
        <vertAlign val="superscript"/>
        <sz val="11"/>
        <rFont val="Calibri"/>
        <family val="2"/>
      </rPr>
      <t>(5)</t>
    </r>
  </si>
  <si>
    <r>
      <t>Fondo contenzioso</t>
    </r>
    <r>
      <rPr>
        <vertAlign val="superscript"/>
        <sz val="11"/>
        <rFont val="Calibri"/>
        <family val="2"/>
      </rPr>
      <t>(5)</t>
    </r>
  </si>
  <si>
    <r>
      <t>Altri accantonamenti</t>
    </r>
    <r>
      <rPr>
        <vertAlign val="superscript"/>
        <sz val="11"/>
        <rFont val="Calibri"/>
        <family val="2"/>
      </rPr>
      <t>(5)</t>
    </r>
  </si>
  <si>
    <t xml:space="preserve">Altri vincoli </t>
  </si>
  <si>
    <t xml:space="preserve">Utilizzo altri vincoli </t>
  </si>
  <si>
    <t>NUOVO</t>
  </si>
  <si>
    <r>
      <t xml:space="preserve">ENTRATE RELATIVE AI PRIMI TRE TITOLI DELLE ENTRATE
 </t>
    </r>
    <r>
      <rPr>
        <i/>
        <sz val="10"/>
        <rFont val="Arial"/>
        <family val="2"/>
      </rPr>
      <t xml:space="preserve">(rendiconto penultimo anno precedente quello in cui viene prevista l'assunzione dei mutui), </t>
    </r>
    <r>
      <rPr>
        <sz val="10"/>
        <rFont val="Arial"/>
        <family val="2"/>
      </rPr>
      <t>ex art. 204, c. 1 del D.L.gs. N. 267/2000</t>
    </r>
  </si>
  <si>
    <t xml:space="preserve">Livello massimo di spesa annuale (1): </t>
  </si>
  <si>
    <t>Ammontare interessi per mutui, prestiti obbligazionari, aperture di credito e garanzie di cui all'articolo 207 del TUEL autorizzati nell'esercizio in corso</t>
  </si>
  <si>
    <t>Contributi erariali in c/interessi su mutui</t>
  </si>
  <si>
    <r>
      <t>Debito contratto al 31/12/</t>
    </r>
    <r>
      <rPr>
        <i/>
        <sz val="10"/>
        <rFont val="Arial"/>
        <family val="2"/>
      </rPr>
      <t>esercizio precedente</t>
    </r>
  </si>
  <si>
    <t>Debito autorizzato nell'esercizio in corso</t>
  </si>
  <si>
    <t>di cui, garanzie per le quali è stato costituito  accantonamento</t>
  </si>
  <si>
    <t>(1)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il 12 per cento, per l'anno 2011, l'8 per cento, per gli anni dal 2012 al 2014, e il 10 per cento, a decorrere dall'anno 2015, delle entrate relative ai primi tre titoli del rendiconto del penultimo anno precedente quello in cui viene prevista l'assunzione dei mutui. Per gli enti locali di nuova istituzione si fa riferimento, per i primi due anni, ai corrispondenti dati finanziari del bilancio di previsione (art. 204, comma 1, del TUEL).</t>
  </si>
  <si>
    <t xml:space="preserve">Contributo comunale per borse di studio alunni </t>
  </si>
  <si>
    <t xml:space="preserve">Contributi per bando per realizzazione eventi </t>
  </si>
  <si>
    <t>Trasferimento a Consorzio Bonifica Brenta per realizzazione idrovora"Gabarda"</t>
  </si>
  <si>
    <t>Acquisto automezzo per servizi stradali</t>
  </si>
  <si>
    <t>Service amministrativo a supporto uffici</t>
  </si>
  <si>
    <r>
      <t>TITOLO 1 - Tipologia 101</t>
    </r>
    <r>
      <rPr>
        <b/>
        <sz val="10"/>
        <color indexed="12"/>
        <rFont val="Arial"/>
        <family val="2"/>
      </rPr>
      <t xml:space="preserve"> (Tributi diretti)</t>
    </r>
  </si>
  <si>
    <r>
      <t>TITOLO 1 - Tipologia 301</t>
    </r>
    <r>
      <rPr>
        <b/>
        <sz val="10"/>
        <color indexed="12"/>
        <rFont val="Arial"/>
        <family val="2"/>
      </rPr>
      <t xml:space="preserve"> (Fondi perequativi da amministrazioni centrali)</t>
    </r>
  </si>
  <si>
    <t>TITOLO 2 - Tipologia 101</t>
  </si>
  <si>
    <t>TITOLO 3 - Tipologia 100</t>
  </si>
  <si>
    <t>TITOLO 3 - Tipologia 200</t>
  </si>
  <si>
    <t>TITOLO 3 - Tipologia 300</t>
  </si>
  <si>
    <t>TITOLO 3 - Tipologia 500</t>
  </si>
  <si>
    <t>TITOLO 4 - Tipologia 500</t>
  </si>
  <si>
    <t>TITOLO 6 - Tipologia 603</t>
  </si>
  <si>
    <t>TITOLO 7 - Tipologia 701</t>
  </si>
  <si>
    <t>TITOLO 9 - Tipologia 901</t>
  </si>
  <si>
    <t>TITOLO 4 - Tipologia 400</t>
  </si>
  <si>
    <t>TITOLO 9 - Tipologia 902</t>
  </si>
  <si>
    <t>3.01.01.01.000</t>
  </si>
  <si>
    <t>PREVISIONE INIZIALE 2018</t>
  </si>
  <si>
    <t xml:space="preserve">ACCERTAMENTI 2018 ALLA DATA DEL </t>
  </si>
  <si>
    <t>PREVISIONE 2021</t>
  </si>
  <si>
    <t xml:space="preserve">IMPEGNI 2018 ALLA DATA DEL </t>
  </si>
  <si>
    <t>PREVISIONE 2019                               (solo FPV)</t>
  </si>
  <si>
    <t>PREVISIONE RISCOSSIONI 2021</t>
  </si>
  <si>
    <t>PREVISIONE PAGAMENTI 2021</t>
  </si>
  <si>
    <t>PREVISIONE FONDO CASSA AL 31.12.2021</t>
  </si>
  <si>
    <t>COMPETENZA ANNO 2021</t>
  </si>
  <si>
    <t>977/1</t>
  </si>
  <si>
    <t>977/2</t>
  </si>
  <si>
    <t>Contributo statale per messa in sicurezza strade comunali - Legge 205/2017 art. 1 comma 853</t>
  </si>
  <si>
    <t>977/3</t>
  </si>
  <si>
    <t>Contributo statale per messa sicurezza palazzo municipale - Legge 205/2017 art. 1 comma 853</t>
  </si>
  <si>
    <t>Contributo regionale per elaborazione progetto fusione Comuni di Montegalda-Grisignano di Zocco</t>
  </si>
  <si>
    <t>Contributo Regione per Piano interventi parcheggi vie Cattaneo, 2 Giugno e Divisione Julia</t>
  </si>
  <si>
    <t>Trasferimenti da Comuni di Montegaldella e Grisignano di Zocco per progetto fusione</t>
  </si>
  <si>
    <t>Contributo regionale per accesso alle abitazioni in locazione famiglie disagiate</t>
  </si>
  <si>
    <t xml:space="preserve">Trasferimento fondi regionali per assistenza domiciliare anziani (L.R. 28/1991) </t>
  </si>
  <si>
    <t>ADI - Assistenza domiciliare integrata - Trasferimento fondi regionali a favore Ente</t>
  </si>
  <si>
    <t>Contributo Regione Veneto per adeguamento scuole elementari</t>
  </si>
  <si>
    <t>Spese convenzione anagrafe segreteria con il Comune di Grisignano di Zocco</t>
  </si>
  <si>
    <t>Messa in sicurezza edificio sede municipale. Intervento di restauro e manutenzione straordinaria</t>
  </si>
  <si>
    <t>Interventi vari di adeguamento alle norme di sicurezza della scuola secondaria di primo grado "G. Toaldo"</t>
  </si>
  <si>
    <t>Completamento percorso pedo-ciclabile di via Borgo fino al cimitero di Colzè</t>
  </si>
  <si>
    <t>Messa in sicurezza territorio comunale rischio idraulico. Realizzazione idrovora Gabarda via Borgo</t>
  </si>
  <si>
    <t>Messa in sicurezza della viabilità del territorio comunale. Strade e marciapiedi</t>
  </si>
  <si>
    <t>Contributo Amministrazione Provinciale per completamento pista ciclabile Via Zocco</t>
  </si>
  <si>
    <t>Fondo nazionale per il sistema integrato di educazione ed istruzione</t>
  </si>
  <si>
    <t>Compatecipazione gestione biblioteca comunale</t>
  </si>
  <si>
    <t>Contributo Montegaldella acquisto tablet</t>
  </si>
  <si>
    <t>Contributi per iniziative ricreative e sportive</t>
  </si>
  <si>
    <t>Contributo regionale per efficientamento illuminazione pubblica-LED</t>
  </si>
  <si>
    <t>Contributo regionale per interventi vari di adeguamento alle norme di sicurezza della scuola secondaria di primo grado "G. Toaldo"</t>
  </si>
  <si>
    <t>Contributo regionale per messa in sicurezza edificio sede municipale. Interventi di restauro e manutenzione straordinaria</t>
  </si>
  <si>
    <t>991/2</t>
  </si>
  <si>
    <t>991/1</t>
  </si>
  <si>
    <t>991/3</t>
  </si>
  <si>
    <t>991/4</t>
  </si>
  <si>
    <t>991/5</t>
  </si>
  <si>
    <t>2070/16</t>
  </si>
  <si>
    <t>2070/17</t>
  </si>
  <si>
    <t>Percorso pedociclabile di via Borgo-Secondo stralcio</t>
  </si>
  <si>
    <t>2070/18</t>
  </si>
  <si>
    <r>
      <t>Ammontare interessi per mutui, prestiti obbligazionari, aperture di credito e garanzie di cui all'articolo 207 del TUEL autorizzati fino al 31/12/2020 (</t>
    </r>
    <r>
      <rPr>
        <i/>
        <sz val="10"/>
        <rFont val="Arial"/>
        <family val="2"/>
      </rPr>
      <t>esercizio precedente) (2)</t>
    </r>
  </si>
  <si>
    <t>Ammontare interessi per mutui, prestiti obbligazionari, aperture di credito e garanzie di cui all'articolo 207 del TUEL autorizzati nell'esercizio in corso (2021)</t>
  </si>
  <si>
    <r>
      <t>Debito contratto al 31/12/2020 (</t>
    </r>
    <r>
      <rPr>
        <i/>
        <sz val="10"/>
        <rFont val="Arial"/>
        <family val="2"/>
      </rPr>
      <t>esercizio precedente)</t>
    </r>
  </si>
  <si>
    <t>PREVISIONE 2018                                                (solo FPV)</t>
  </si>
  <si>
    <t>PREVISIONE 2021                     (solo FPV)</t>
  </si>
  <si>
    <t>VERIFICA CASSA 2021</t>
  </si>
  <si>
    <t>PEVISIONE DI CASSA 2021</t>
  </si>
  <si>
    <t>Assistenza sociale di base</t>
  </si>
  <si>
    <t>400</t>
  </si>
  <si>
    <t>PREVISIONE 2022</t>
  </si>
  <si>
    <t>PEVISIONE DI CASSA 2022</t>
  </si>
  <si>
    <t>VERIFICA CASSA 2022</t>
  </si>
  <si>
    <t>COMPETENZA ANNO 2022</t>
  </si>
  <si>
    <t>Titolo 2 - Spese in conto capitale</t>
  </si>
  <si>
    <t>Contributo Regione Veneto promozione inclusione sociale (Del. G.R. 87/2018)</t>
  </si>
  <si>
    <t>1.01.01.76.000</t>
  </si>
  <si>
    <t>Trasferimento da Comune di Grisignano di Zocco per assistenza domiciliare anziani</t>
  </si>
  <si>
    <t>Spesa assistenza sociale di competednza Comune di Grisignano di Zocco riferimento convenzione servizi sociali</t>
  </si>
  <si>
    <t>Trasferimento da Comune di Grisignano di Zocco per rimborso spese gestione biblioteca in convenzione</t>
  </si>
  <si>
    <t>Contributo statale per messa in sicurezza strade comunali - Legge 145/2018 Art. 1 c. 107</t>
  </si>
  <si>
    <t>Contributo Regione Veneto per attivazione funzione associata servizi scolastici Comune di Montegalda-Grisignano di Zocco</t>
  </si>
  <si>
    <t>Contributo regionale per messa in sicurezza della viabilità del territorio comunale, strade e marciapiedi</t>
  </si>
  <si>
    <t>Contributo regionale per lavori di collegamento con fibra ottica tra i Comuni di Grisignano e Montegalda</t>
  </si>
  <si>
    <t>Contributo da Provincia di Vicenza per adeguamento viabilità e parcheggi Vie Cattaneo, Julia e 2 Giugno</t>
  </si>
  <si>
    <t>Mutuo per adeguamento viabilità e parcheggi Vie Cattaneo, Julia e 2 Giugno</t>
  </si>
  <si>
    <t>Riversamento introiti per rilascio carte d'identità elettroniche</t>
  </si>
  <si>
    <t>Collaborazione per servizio di polizia municipale ed amministrativa</t>
  </si>
  <si>
    <t>Spese funzionamento scuole elementari - Utenze</t>
  </si>
  <si>
    <t>605/1</t>
  </si>
  <si>
    <t>Spese gestione biblioteca comunale Comune di Grisignano in convenzione con il Comune di Montegalda</t>
  </si>
  <si>
    <t>Manutenzione ordinaria strade comunali</t>
  </si>
  <si>
    <t>860/1</t>
  </si>
  <si>
    <t>Spese per assistenza domiciliare relativa a convenzione con il Comune di Grisignano di Zocco</t>
  </si>
  <si>
    <t>865/1</t>
  </si>
  <si>
    <t>Assistente sociale convenzione con il Comune di Grisignano di Zocco</t>
  </si>
  <si>
    <r>
      <t xml:space="preserve">TOTALE PROGRAMMA 3 </t>
    </r>
    <r>
      <rPr>
        <b/>
        <sz val="10"/>
        <color indexed="12"/>
        <rFont val="Arial"/>
        <family val="2"/>
      </rPr>
      <t>(Sostegno all'occupazione)</t>
    </r>
  </si>
  <si>
    <t>Progetto Regione Veneto promozione inclusione sociale (Del. G.R. 87/2018)</t>
  </si>
  <si>
    <t>Contributo regionale a favore delle persone anziane non autosufficienti assistite a domicilio (L.R. 28/91)</t>
  </si>
  <si>
    <t>Contributi per interventi assistenziali derivanti da economia indennità presenza consiglieri</t>
  </si>
  <si>
    <t>Collegamento con fibra ottica tra i Comuni di Grisignano di Zocco e Montegalda</t>
  </si>
  <si>
    <t>Acquisto automezzo servizi sociali Comune di Grisignano di Zocco rif. Convenzione servizi sociali</t>
  </si>
  <si>
    <t>Trasferimento a Comune di Grisignano per acquisto pc protezione civile</t>
  </si>
  <si>
    <t>Nuovo campo di inumazione nel cimitero di Colzè</t>
  </si>
  <si>
    <t>Ampliamento e sistemazione cimitero Colzè</t>
  </si>
  <si>
    <t>Mutuo per interventi di realizzazione pista ciclabile Via Borgo - 2° Stralcio - tratto Cecchetto--Feriani</t>
  </si>
  <si>
    <t>EQUILIBRI DI BILANCIO 2020-2022</t>
  </si>
  <si>
    <t xml:space="preserve">Titolo 2 - Spese in conto capitale </t>
  </si>
  <si>
    <r>
      <t>Ammontare interessi per mutui, prestiti obbligazionari, aperture di credito e garanzie di cui all'articolo 207 del TUEL autorizzati fino al 31/12/2021 (</t>
    </r>
    <r>
      <rPr>
        <i/>
        <sz val="10"/>
        <rFont val="Arial"/>
        <family val="2"/>
      </rPr>
      <t>esercizio precedente) (2)</t>
    </r>
  </si>
  <si>
    <t>Ammontare interessi per mutui, prestiti obbligazionari, aperture di credito e garanzie di cui all'articolo 207 del TUEL autorizzati nell'esercizio in corso (2022)</t>
  </si>
  <si>
    <t>Debito autorizzato nell'esercizio in corso (2022)</t>
  </si>
  <si>
    <t>Titolo 1 - Spese correnti</t>
  </si>
  <si>
    <t>FONDO CASSA AL 1° GENNAIO 2022 (presunto)</t>
  </si>
  <si>
    <t>PREVISIONE RISCOSSIONI 2022</t>
  </si>
  <si>
    <t>PREVISIONE PAGAMENTI 2022</t>
  </si>
  <si>
    <t>PREVISIONE FONDO CASSA AL 31.12.2022</t>
  </si>
  <si>
    <t>Proventi per la vendita di materiali da riciclaggio</t>
  </si>
  <si>
    <r>
      <t xml:space="preserve">ICI/IMU - Violazioni </t>
    </r>
    <r>
      <rPr>
        <sz val="10"/>
        <color indexed="10"/>
        <rFont val="Arial"/>
        <family val="2"/>
      </rPr>
      <t>(FCDE)</t>
    </r>
  </si>
  <si>
    <r>
      <t>Tributo sui rifiuti (TARI)</t>
    </r>
    <r>
      <rPr>
        <sz val="10"/>
        <color indexed="10"/>
        <rFont val="Arial"/>
        <family val="2"/>
      </rPr>
      <t xml:space="preserve"> (FCDE)</t>
    </r>
  </si>
  <si>
    <r>
      <t xml:space="preserve">Tributo sui rifiuti (TARI) - Violazioni </t>
    </r>
    <r>
      <rPr>
        <sz val="10"/>
        <color indexed="10"/>
        <rFont val="Arial"/>
        <family val="2"/>
      </rPr>
      <t>(FCDE)</t>
    </r>
  </si>
  <si>
    <r>
      <t>TASI - Attività di accertamento</t>
    </r>
    <r>
      <rPr>
        <sz val="10"/>
        <color indexed="10"/>
        <rFont val="Arial"/>
        <family val="2"/>
      </rPr>
      <t xml:space="preserve"> (FCDE)</t>
    </r>
  </si>
  <si>
    <r>
      <t>Sanzioni amministrative CDS</t>
    </r>
    <r>
      <rPr>
        <sz val="10"/>
        <color indexed="10"/>
        <rFont val="Arial"/>
        <family val="2"/>
      </rPr>
      <t xml:space="preserve"> (FCDE)</t>
    </r>
  </si>
  <si>
    <r>
      <t xml:space="preserve">Proventi per contravvenzioni CDS - Recupero anni pregressi </t>
    </r>
    <r>
      <rPr>
        <sz val="10"/>
        <color indexed="10"/>
        <rFont val="Arial"/>
        <family val="2"/>
      </rPr>
      <t>(FCDE)</t>
    </r>
  </si>
  <si>
    <t>PREVISIONE 2020                               (solo FPV)</t>
  </si>
  <si>
    <t>PREVISIONE 2021                      (solo FPV)</t>
  </si>
  <si>
    <t>PREVISIONE 2022                      (solo FPV)</t>
  </si>
  <si>
    <t>Spese convenzione segreteria (Comune di Mestrino)</t>
  </si>
  <si>
    <t>Spese per mantenimento cani randagi</t>
  </si>
  <si>
    <t>Fondo garanzia debiti commerciali</t>
  </si>
  <si>
    <t>991/6</t>
  </si>
  <si>
    <t>Contributo Regione Veneto per ampliamento videosorveglianza-ecocentro comunale</t>
  </si>
  <si>
    <t>996/2</t>
  </si>
  <si>
    <t>Contributo Regione Veneto per acquisto automezzo servizi sociali</t>
  </si>
  <si>
    <t>Contributo Comune di Grisignano per acquisto automezzo servizi sociali</t>
  </si>
  <si>
    <t>Mutuo per realizzazione percorsi pedonali protetti in ambito urbano SP nr.21 Grimana: diramazione-stralcio B</t>
  </si>
  <si>
    <t>Indennità di presenza agli Amministratori</t>
  </si>
  <si>
    <t>Spese Commissione elettorale</t>
  </si>
  <si>
    <t>Fondo mobilità segretari comunali</t>
  </si>
  <si>
    <t>Acquisto nuovo server uffici comunali</t>
  </si>
  <si>
    <t>Programma integrato di riqualifcazione urbanistica</t>
  </si>
  <si>
    <t>Oneri previdenziali benefici contrattuali ex dipendente Pegoraro Domenico</t>
  </si>
  <si>
    <t>Sistemazione e asfaltatura via Settimo</t>
  </si>
  <si>
    <t>Potenziamento impianto di sorveglianza</t>
  </si>
  <si>
    <t>2070/6</t>
  </si>
  <si>
    <t>Pista ciclabile arfine fiume Bacchiglione</t>
  </si>
  <si>
    <t>Piano interventi parcheggi via Cattaneo, Julia, 2 Giugno</t>
  </si>
  <si>
    <t>2072/1</t>
  </si>
  <si>
    <t>Realizzazione percorsi pedonali protetti in ambito urbano S.P. nr.21 Grimana: diramazione stralcio B</t>
  </si>
  <si>
    <t>Convenzione con Provincia di Padova per realizzazione pista ciclabile fiume Bacchiglione</t>
  </si>
  <si>
    <t>BILANCIO DI PREVISIONE 2021 - 2023</t>
  </si>
  <si>
    <t>PREVISIONE 2023</t>
  </si>
  <si>
    <t>PREVISIONE 2020                    (solo FPV)</t>
  </si>
  <si>
    <t>FONDO CASSA AL 1° GENNAIO 2023 (presunto)</t>
  </si>
  <si>
    <t>PREVISIONE RISCOSSIONI 2023</t>
  </si>
  <si>
    <t>PREVISIONE PAGAMENTI 2023</t>
  </si>
  <si>
    <t>PREVISIONE FONDO CASSA AL 31.12.2023</t>
  </si>
  <si>
    <t>COMPETENZA ANNO DI RIFERIMENTO DEL BILANCIO
2020</t>
  </si>
  <si>
    <t>CASSA 
ANNO DI RIFERIMENTO DEL BILANCIO 
2021</t>
  </si>
  <si>
    <t>COMPETENZA ANNO 2023</t>
  </si>
  <si>
    <t>COMPETENZA ANNO DI RIFERIMENTO DEL BILANCIO 2020</t>
  </si>
  <si>
    <r>
      <t>ENTRATE RELATIVE AI PRIMI TRE TITOLI DELLE ENTRATE (esercizio 2018)</t>
    </r>
    <r>
      <rPr>
        <sz val="10"/>
        <rFont val="Arial"/>
        <family val="2"/>
      </rPr>
      <t xml:space="preserve">
 </t>
    </r>
    <r>
      <rPr>
        <i/>
        <sz val="10"/>
        <rFont val="Arial"/>
        <family val="2"/>
      </rPr>
      <t xml:space="preserve">(rendiconto penultimo anno precedente quello in cui viene prevista l'assunzione dei mutui), </t>
    </r>
    <r>
      <rPr>
        <sz val="10"/>
        <rFont val="Arial"/>
        <family val="2"/>
      </rPr>
      <t>ex art. 204, c. 1 del D.L.gs. N. 267/2000</t>
    </r>
  </si>
  <si>
    <t>Debito autorizzato nell'esercizio in corso (2020)</t>
  </si>
  <si>
    <r>
      <t>ENTRATE RELATIVE AI PRIMI TRE TITOLI DELLE ENTRATE (previsioni esercizio 2021)</t>
    </r>
    <r>
      <rPr>
        <sz val="10"/>
        <rFont val="Arial"/>
        <family val="2"/>
      </rPr>
      <t xml:space="preserve">
 </t>
    </r>
    <r>
      <rPr>
        <i/>
        <sz val="10"/>
        <rFont val="Arial"/>
        <family val="2"/>
      </rPr>
      <t xml:space="preserve">(rendiconto penultimo anno precedente quello in cui viene prevista l'assunzione dei mutui), </t>
    </r>
    <r>
      <rPr>
        <sz val="10"/>
        <rFont val="Arial"/>
        <family val="2"/>
      </rPr>
      <t>ex art. 204, c. 1 del D.L.gs. N. 267/2000</t>
    </r>
  </si>
  <si>
    <r>
      <t>ENTRATE RELATIVE AI PRIMI TRE TITOLI DELLE ENTRATE (previsioni esercizio 2023)</t>
    </r>
    <r>
      <rPr>
        <sz val="10"/>
        <rFont val="Arial"/>
        <family val="2"/>
      </rPr>
      <t xml:space="preserve">
 </t>
    </r>
    <r>
      <rPr>
        <i/>
        <sz val="10"/>
        <rFont val="Arial"/>
        <family val="2"/>
      </rPr>
      <t xml:space="preserve">(rendiconto penultimo anno precedente quello in cui viene prevista l'assunzione dei mutui), </t>
    </r>
    <r>
      <rPr>
        <sz val="10"/>
        <rFont val="Arial"/>
        <family val="2"/>
      </rPr>
      <t>ex art. 204, c. 1 del D.L.gs. N. 267/2000</t>
    </r>
  </si>
  <si>
    <r>
      <t>Ammontare interessi per mutui, prestiti obbligazionari, aperture di credito e garanzie di cui all'articolo 207 del TUEL autorizzati fino al 31/12/2022 (</t>
    </r>
    <r>
      <rPr>
        <i/>
        <sz val="10"/>
        <rFont val="Arial"/>
        <family val="2"/>
      </rPr>
      <t>esercizio precedente) (2)</t>
    </r>
  </si>
  <si>
    <r>
      <t>Debito contratto al 31/12/2022 (</t>
    </r>
    <r>
      <rPr>
        <i/>
        <sz val="10"/>
        <rFont val="Arial"/>
        <family val="2"/>
      </rPr>
      <t>esercizio precedente)</t>
    </r>
  </si>
  <si>
    <t>Debito autorizzato nell'esercizio in corso (2023)</t>
  </si>
  <si>
    <t>Allegato n.9 - Bilancio di previsione</t>
  </si>
  <si>
    <r>
      <t>EQUILIBRI DI BILANCIO 
(</t>
    </r>
    <r>
      <rPr>
        <b/>
        <i/>
        <sz val="16"/>
        <color indexed="8"/>
        <rFont val="Calibri"/>
        <family val="2"/>
      </rPr>
      <t>solo per gli Enti locali</t>
    </r>
    <r>
      <rPr>
        <b/>
        <sz val="16"/>
        <color indexed="8"/>
        <rFont val="Calibri"/>
        <family val="2"/>
      </rPr>
      <t>)</t>
    </r>
    <r>
      <rPr>
        <b/>
        <vertAlign val="superscript"/>
        <sz val="16"/>
        <color indexed="8"/>
        <rFont val="Calibri"/>
        <family val="2"/>
      </rPr>
      <t>(1)</t>
    </r>
  </si>
  <si>
    <r>
      <t xml:space="preserve">   di cui  Fondo anticipazioni di liquidità </t>
    </r>
    <r>
      <rPr>
        <strike/>
        <sz val="11"/>
        <color indexed="8"/>
        <rFont val="Calibri"/>
        <family val="2"/>
      </rPr>
      <t xml:space="preserve">(DL 35/2013 e successive modifiche e rifinanziamenti) </t>
    </r>
  </si>
  <si>
    <t>ALTRE POSTE DIFFERENZIALI, PER ECCEZIONI PREVISTE DA NORME DI LEGGE E DA PRINCIPI CONTABILI, CHE  HANNO EFFETTO SULL’EQUILIBRIO  EX ARTICOLO 162, COMMA 6,  DEL TESTO UNICO DELLE LEGGI SULL’ORDINAMENTO DEGLI ENTI LOCALI</t>
  </si>
  <si>
    <r>
      <t xml:space="preserve">H) Utilizzo risultato  di amministrazione presunto per spese correnti </t>
    </r>
    <r>
      <rPr>
        <vertAlign val="superscript"/>
        <sz val="11"/>
        <color indexed="8"/>
        <rFont val="Calibri"/>
        <family val="2"/>
      </rPr>
      <t>(2)</t>
    </r>
  </si>
  <si>
    <t>I) Entrate di parte capitale destinate a spese correnti in base a specifiche disposizioni di legge o  dei principi contabili</t>
  </si>
  <si>
    <t>L) Entrate di parte corrente destinate a spese di investimento in base a specifiche disposizioni di legge o dei principi contabili</t>
  </si>
  <si>
    <r>
      <t xml:space="preserve">EQUILIBRIO DI PARTE CORRENTE </t>
    </r>
    <r>
      <rPr>
        <b/>
        <vertAlign val="superscript"/>
        <sz val="11"/>
        <color indexed="8"/>
        <rFont val="Calibri"/>
        <family val="2"/>
      </rPr>
      <t>(3)</t>
    </r>
  </si>
  <si>
    <t>Z = P+Q+R-C-I-S1-S2-T+L-M-U-V+E</t>
  </si>
  <si>
    <r>
      <t>Saldo  corrente  ai fini della copertura degli investimenti pluriennali</t>
    </r>
    <r>
      <rPr>
        <b/>
        <vertAlign val="superscript"/>
        <sz val="11"/>
        <color indexed="8"/>
        <rFont val="Calibri"/>
        <family val="2"/>
      </rPr>
      <t xml:space="preserve"> (4)</t>
    </r>
    <r>
      <rPr>
        <b/>
        <sz val="11"/>
        <color indexed="8"/>
        <rFont val="Calibri"/>
        <family val="2"/>
      </rPr>
      <t>:</t>
    </r>
  </si>
  <si>
    <t xml:space="preserve"> Equilibrio di parte corrente (O)</t>
  </si>
  <si>
    <t>Utilizzo risultato di amministrazione per il finanziamento di spese correnti (H)</t>
  </si>
  <si>
    <t>Equilibrio di parte corrente ai fini della copertura degli investimenti plurien.</t>
  </si>
  <si>
    <t>(1) Indicare gli anni di riferimento N, N+1 e N+2.</t>
  </si>
  <si>
    <r>
      <t xml:space="preserve">(2) </t>
    </r>
    <r>
      <rPr>
        <sz val="11"/>
        <color indexed="8"/>
        <rFont val="Calibri"/>
        <family val="2"/>
      </rPr>
      <t xml:space="preserve">In sede di approvazione del bilancio di previsione </t>
    </r>
    <r>
      <rPr>
        <sz val="11"/>
        <color indexed="8"/>
        <rFont val="Calibri"/>
        <family val="2"/>
      </rPr>
      <t xml:space="preserve">è consentito l'utilizzo della sola quota vincolata del risultato di amministrazione presunto. </t>
    </r>
    <r>
      <rPr>
        <sz val="11"/>
        <color indexed="8"/>
        <rFont val="Calibri"/>
        <family val="2"/>
      </rPr>
      <t>Nel corso dell'esercizi</t>
    </r>
    <r>
      <rPr>
        <sz val="11"/>
        <color indexed="8"/>
        <rFont val="Calibri"/>
        <family val="2"/>
      </rPr>
      <t xml:space="preserve">o è consentito l'utilizzo anche della quota accantonata se il bilancio è deliberato a seguito dell'approvazione del prospetto concernente il risultato di amministrazione presunto dell'anno precedente aggiornato sulla base di un pre-consuntivo dell'esercizio precedente.  E' consentito l'utilizzo anche della quota destinata agli investimenti e della quota libera del risultato di amministrazione dell'anno precedente  se il bilancio </t>
    </r>
    <r>
      <rPr>
        <sz val="11"/>
        <color indexed="8"/>
        <rFont val="Calibri"/>
        <family val="2"/>
      </rPr>
      <t>(o la variazione di bilancio)</t>
    </r>
    <r>
      <rPr>
        <sz val="11"/>
        <color indexed="8"/>
        <rFont val="Calibri"/>
        <family val="2"/>
      </rPr>
      <t xml:space="preserve"> è deliberato a seguito dell'approvazione del rendiconto dell'anno precedente.</t>
    </r>
  </si>
  <si>
    <t xml:space="preserve">(3) La somma algebrica finale non può essere inferiore a zero per il rispetto della disposizione di cui all’articolo 162 del testo unico delle leggi sull’ordinamento degli enti locali. </t>
  </si>
  <si>
    <t xml:space="preserve">(4) Con riferimento a ciascun esercizio, il  saldo positivo dell’equilibrio di parte corrente  in termini di competenza finanziaria può costituire copertura agli investimenti imputati agli esercizi successivi  per un importo non superiore  al minore valore tra la media dei saldi di parte corrente in termini di competenza e la media dei saldi di parte corrente in termini di cassa registrati negli ultimi tre esercizi rendicontati, se sempre positivi, determinati al netto dell’utilizzo dell’avanzo di amministrazione, del fondo di cassa, e delle entrate non ricorrenti che non hanno dato copertura a impegni, o pagamenti. </t>
  </si>
  <si>
    <r>
      <t>A) Risultato  di amministrazione presunto al 31/12 N-1</t>
    </r>
    <r>
      <rPr>
        <b/>
        <strike/>
        <vertAlign val="superscript"/>
        <sz val="11"/>
        <rFont val="Calibri"/>
        <family val="2"/>
      </rPr>
      <t>(2)</t>
    </r>
    <r>
      <rPr>
        <b/>
        <vertAlign val="superscript"/>
        <sz val="11"/>
        <rFont val="Calibri"/>
        <family val="2"/>
      </rPr>
      <t xml:space="preserve">  </t>
    </r>
  </si>
  <si>
    <r>
      <t xml:space="preserve">Fondo anticipazioni liquidità </t>
    </r>
    <r>
      <rPr>
        <strike/>
        <sz val="11"/>
        <rFont val="Calibri"/>
        <family val="2"/>
      </rPr>
      <t>DL 35 del 2013 e successive modifiche e rifinanziamenti</t>
    </r>
    <r>
      <rPr>
        <vertAlign val="superscript"/>
        <sz val="11"/>
        <rFont val="Calibri"/>
        <family val="2"/>
      </rPr>
      <t>(5)</t>
    </r>
  </si>
  <si>
    <r>
      <t xml:space="preserve">F) di cui Disavanzo da debito autorizzato e non contratto </t>
    </r>
    <r>
      <rPr>
        <vertAlign val="superscript"/>
        <sz val="11"/>
        <rFont val="Calibri"/>
        <family val="2"/>
      </rPr>
      <t>(6)</t>
    </r>
  </si>
  <si>
    <r>
      <t xml:space="preserve">Se E è negativo, tale importo  è iscritto tra le spese del bilancio di previsione  come disavanzo da ripianare </t>
    </r>
    <r>
      <rPr>
        <b/>
        <vertAlign val="superscript"/>
        <sz val="11"/>
        <rFont val="Calibri"/>
        <family val="2"/>
      </rPr>
      <t>(7)</t>
    </r>
  </si>
  <si>
    <r>
      <t xml:space="preserve">3) Utilizzo quote vincolate del risultato di amministrazione  </t>
    </r>
    <r>
      <rPr>
        <b/>
        <sz val="11"/>
        <rFont val="Calibri"/>
        <family val="2"/>
      </rPr>
      <t xml:space="preserve">presunto al 31/12/N-1 </t>
    </r>
    <r>
      <rPr>
        <b/>
        <sz val="11"/>
        <rFont val="Calibri"/>
        <family val="2"/>
      </rPr>
      <t xml:space="preserve"> :</t>
    </r>
  </si>
  <si>
    <t xml:space="preserve">Solo per le Regioni e le Province autonome di Trento e di Bolzano. </t>
  </si>
  <si>
    <t>(7)</t>
  </si>
  <si>
    <r>
      <t>I</t>
    </r>
    <r>
      <rPr>
        <sz val="11"/>
        <rFont val="Calibri"/>
        <family val="2"/>
      </rPr>
      <t>n caso di risultato negativo, le regioni</t>
    </r>
    <r>
      <rPr>
        <b/>
        <sz val="11"/>
        <rFont val="Calibri"/>
        <family val="2"/>
      </rPr>
      <t xml:space="preserve"> iscrivono nel passivo del bilancio distintamente il disavanzo di amministrazione presunto da ripianare (lettera E al netto della lettera F) e il disavanzo derivante da debito autorizzato e non contratto (lettera F).</t>
    </r>
    <r>
      <rPr>
        <b/>
        <strike/>
        <sz val="11"/>
        <rFont val="Calibri"/>
        <family val="2"/>
      </rPr>
      <t xml:space="preserve">   </t>
    </r>
    <r>
      <rPr>
        <strike/>
        <sz val="11"/>
        <rFont val="Calibri"/>
        <family val="2"/>
      </rPr>
      <t>indicano in nota la quota del disavanzo corrispondente al debito autorizzato e non contratto, distintamente da quella derivante dalla gestione ordinaria e iscrivono nel passivo del bilancio di previsione N l'importo di cui alla lettera E, distinduendo le due componenti del disavanzo. A decorrere dal 2016 si fa riferimento all'ammontare del debito autorizzato alla data del 31 dicembre 2015.</t>
    </r>
  </si>
  <si>
    <t>Allegato a/1)  Risultato di amministrazione - quote accantonate</t>
  </si>
  <si>
    <t>ELENCO ANALITICO DELLE RISORSE ACCANTONATE NEL RISULTATO DI AMMINISTRAZIONE PRESUNTO (*)</t>
  </si>
  <si>
    <t xml:space="preserve">Capitolo di spesa </t>
  </si>
  <si>
    <t>descrizione</t>
  </si>
  <si>
    <t>Risorse accantonate  al 1/1/ N-1</t>
  </si>
  <si>
    <r>
      <t>Risorse accantonate applicate al bilancio
dell'esercizio  N-1 (con segno -</t>
    </r>
    <r>
      <rPr>
        <b/>
        <vertAlign val="superscript"/>
        <sz val="11"/>
        <rFont val="Times New Roman"/>
        <family val="1"/>
      </rPr>
      <t>1</t>
    </r>
    <r>
      <rPr>
        <b/>
        <sz val="11"/>
        <rFont val="Times New Roman"/>
        <family val="1"/>
      </rPr>
      <t>)</t>
    </r>
  </si>
  <si>
    <t>Risorse accantonate stanziate nella spesa del bilancio  dell'esercizio N-1</t>
  </si>
  <si>
    <r>
      <t xml:space="preserve">Variazione degli accantonamenti che si prevede di effettuare </t>
    </r>
    <r>
      <rPr>
        <b/>
        <strike/>
        <sz val="12"/>
        <rFont val="Times New Roman"/>
        <family val="1"/>
      </rPr>
      <t xml:space="preserve"> </t>
    </r>
    <r>
      <rPr>
        <b/>
        <sz val="12"/>
        <rFont val="Times New Roman"/>
        <family val="1"/>
      </rPr>
      <t xml:space="preserve">in sede di  rendiconto N-1 (con segno +/-) </t>
    </r>
    <r>
      <rPr>
        <b/>
        <vertAlign val="superscript"/>
        <sz val="12"/>
        <rFont val="Times New Roman"/>
        <family val="1"/>
      </rPr>
      <t>(2)</t>
    </r>
  </si>
  <si>
    <t>Risorse accantonate  nel risultato di amministrazione presunto
al 31/12/ N-1</t>
  </si>
  <si>
    <t>Risorse accantonate   presunte
al 31/12/ N-1  applicate al primo esercizio del bilancio di previsione</t>
  </si>
  <si>
    <t>(a)</t>
  </si>
  <si>
    <t>(b)</t>
  </si>
  <si>
    <t>(c)</t>
  </si>
  <si>
    <t>(d)</t>
  </si>
  <si>
    <t>(e)=(a)+(b)+( c)+(d)</t>
  </si>
  <si>
    <t>(f)</t>
  </si>
  <si>
    <t xml:space="preserve">Fondo anticipazioni liquidità </t>
  </si>
  <si>
    <t xml:space="preserve">Totale Fondo anticipazioni liquidità </t>
  </si>
  <si>
    <t>Fondo  perdite società partecipate</t>
  </si>
  <si>
    <t>Totale Fondo  perdite società partecipate</t>
  </si>
  <si>
    <t>Fondo contezioso</t>
  </si>
  <si>
    <t>Totale Fondo contezioso</t>
  </si>
  <si>
    <t xml:space="preserve">Totale Fondo crediti di dubbia esigibilità </t>
  </si>
  <si>
    <t xml:space="preserve">Accantonamento residui perenti (solo per le regioni)  </t>
  </si>
  <si>
    <t xml:space="preserve">Totale Accantonamento residui perenti  (solo per le regioni)  </t>
  </si>
  <si>
    <r>
      <t>Altri accantonamenti</t>
    </r>
    <r>
      <rPr>
        <vertAlign val="superscript"/>
        <sz val="12"/>
        <color indexed="8"/>
        <rFont val="Times New Roman"/>
        <family val="1"/>
      </rPr>
      <t>(4)</t>
    </r>
  </si>
  <si>
    <t>Totale Altri accantonamenti</t>
  </si>
  <si>
    <t xml:space="preserve">Totale </t>
  </si>
  <si>
    <t>(*) Allegato obbligatorio nel caso in cui il bilancio di previsione approvato nel corso dell'esercizio N preveda l’utilizzo delle quote accantonate del risultato di amministrazione presunto</t>
  </si>
  <si>
    <r>
      <t>(1)</t>
    </r>
    <r>
      <rPr>
        <i/>
        <sz val="7"/>
        <color indexed="8"/>
        <rFont val="Times New Roman"/>
        <family val="1"/>
      </rPr>
      <t xml:space="preserve">   </t>
    </r>
    <r>
      <rPr>
        <i/>
        <sz val="12"/>
        <color indexed="8"/>
        <rFont val="Times New Roman"/>
        <family val="1"/>
      </rPr>
      <t>Indicare, con il segno (-), l’utilizzo dei fondi accantonati attraverso l'applicazione in bilancio della corrispondente quota del risultato di amministrazione.</t>
    </r>
  </si>
  <si>
    <t>(2)  Indicare con il segno (+) i maggiori accantonamenti nel risultato di amministrazione effettuati in sede di predisposizione del rendiconto, e con il segno (-) , le riduzioni degli accantonamenti effettuati in sede di predisposizione del rendiconto.</t>
  </si>
  <si>
    <r>
      <t>(4)</t>
    </r>
    <r>
      <rPr>
        <i/>
        <sz val="7"/>
        <color indexed="8"/>
        <rFont val="Times New Roman"/>
        <family val="1"/>
      </rPr>
      <t> </t>
    </r>
    <r>
      <rPr>
        <i/>
        <sz val="12"/>
        <color indexed="8"/>
        <rFont val="Times New Roman"/>
        <family val="1"/>
      </rPr>
      <t>I fondi di riserva e i fondi speciali non confluiscono nella quota accantonata del risultato di amministrazione.</t>
    </r>
  </si>
  <si>
    <t>Allegato a/2)  Risultato di amministrazione - quote vincolate</t>
  </si>
  <si>
    <t>ELENCO ANALITICO DELLE RISORSE VINCOLATE NEL RISULTATO DI AMMINISTRAZIONE PRESUNTO (*)</t>
  </si>
  <si>
    <t>Cap.  di entrata</t>
  </si>
  <si>
    <t>Descr.</t>
  </si>
  <si>
    <t>Risorse vinc. al 1/1/ N-1</t>
  </si>
  <si>
    <t>Entrate vincolate accertate nell'esercizio N-1 (dati presunti)</t>
  </si>
  <si>
    <t>Impegni presunti eserc. N-1 finanziati da entrate vincolate accertate nell'esercizio o da quote vincolate del risultato di amministrazione ( dati presunti)</t>
  </si>
  <si>
    <t>Fondo plur. vinc.  al 31/12/N-1 finanziato da entrate vincolate accertate nell'esercizio o da quote vincolate del risultato di amministrazione (dati presunti)</t>
  </si>
  <si>
    <r>
      <t>Cancellazione nell'esercizio N-1  di residui attivi vincolati o eliminazione del vincolo su quote del risultato di amministrazione (+) e cancellazione nell'esercizio N-1 di residui passivi finanziati da risorse vincolate (-) (gestione dei residui)</t>
    </r>
    <r>
      <rPr>
        <b/>
        <strike/>
        <sz val="11"/>
        <rFont val="Times New Roman"/>
        <family val="1"/>
      </rPr>
      <t>:</t>
    </r>
    <r>
      <rPr>
        <b/>
        <sz val="11"/>
        <rFont val="Times New Roman"/>
        <family val="1"/>
      </rPr>
      <t xml:space="preserve"> (dati presunti) </t>
    </r>
  </si>
  <si>
    <t>Cancellazione nell'esercizio N-1 di impegni finanziati dal fondo pluriennale vincolato dopo l'approvazione del rendiconto dell'esercizio N-2 se non reimpegnati  nell'esercizio N-1 (+)</t>
  </si>
  <si>
    <t>Risorse vincolate nel risultato di amministrazione presunto al 31/12/N-1</t>
  </si>
  <si>
    <t>Risorse vincolate presunte al 31/12/N-1 applicate al primo esercizio del bilancio di previsione</t>
  </si>
  <si>
    <t>(e)</t>
  </si>
  <si>
    <t>(g)=(a) +(b)         -( c)-(d)-(e)-(f)</t>
  </si>
  <si>
    <t>(i)</t>
  </si>
  <si>
    <t>Vincoli derivanti dalla legge</t>
  </si>
  <si>
    <t>Totale vincoli derivanti dalla legge (h/1)</t>
  </si>
  <si>
    <t>Vincoli derivanti da Trasferimenti</t>
  </si>
  <si>
    <t>Totale vincoli derivanti da trasferimenti (h/2)</t>
  </si>
  <si>
    <t>Vincoli derivanti da finanziamenti</t>
  </si>
  <si>
    <t>Totale vincoli derivanti da finanziamenti (h/3)</t>
  </si>
  <si>
    <t>Vincoli formalmente attribuiti dall'ente</t>
  </si>
  <si>
    <t>Totale vincoli formalmente attribuiti dall'ente (h/4)</t>
  </si>
  <si>
    <t>Altri vincoli</t>
  </si>
  <si>
    <t>Totale altri vincoli  (h/5)</t>
  </si>
  <si>
    <r>
      <t>Totale risorse vincolate</t>
    </r>
    <r>
      <rPr>
        <b/>
        <vertAlign val="superscript"/>
        <sz val="12"/>
        <color indexed="8"/>
        <rFont val="Times New Roman"/>
        <family val="1"/>
      </rPr>
      <t xml:space="preserve">  </t>
    </r>
    <r>
      <rPr>
        <b/>
        <sz val="12"/>
        <color indexed="8"/>
        <rFont val="Times New Roman"/>
        <family val="1"/>
      </rPr>
      <t>(h +(h/1)+(h/2)+(h/3)+(h/4)+(h/5)</t>
    </r>
  </si>
  <si>
    <t>Totale quote accantonate riguardanti le risorse vincolate da legge (i/1)</t>
  </si>
  <si>
    <t>Totale quote accantonate riguardanti le risorse vincolate da trasferimenti (i/2)</t>
  </si>
  <si>
    <t>Totale quote accantonate riguardanti le risorse vincolate da finanziamenti (i/3)</t>
  </si>
  <si>
    <t>Totale quote accantonate riguardanti le risorse vincolate dall'ente  (i/4)</t>
  </si>
  <si>
    <t>Totale quote accantonate riguardanti le risorse vincolate da altro (i/5)</t>
  </si>
  <si>
    <t>Totale quote accantonate riguardanti le risorse vincolate  (i=i/1+i/2+i/3+i/4+i/5)</t>
  </si>
  <si>
    <t>Totale risorse vincolate da legge al netto  di quelle che sono state oggetto di accantonamenti (l/1=h/1-i/1)</t>
  </si>
  <si>
    <t>Totale risorse vincolate da trasferimenti al netto di quelle che sono state oggetto di accantonamenti (l/2=h/2-i/2)</t>
  </si>
  <si>
    <t>Totale risorse vincolate da finanziamenti al netto di quelle che sono state oggetto di accantonamenti (l/3=h/3-i/3)</t>
  </si>
  <si>
    <t>Totale risorse vincolate dall'Ente al netto di quelle che sono state oggetto di accantonamenti (l/4=h/4-i/4)</t>
  </si>
  <si>
    <t>Totale risorse vincolate da altro al netto di quelle che sono state oggetto di accantonamenti (l/5=h5-i/5)</t>
  </si>
  <si>
    <r>
      <t>Totale risorse vincolate al netto di quelle che sono state oggetto di accantonamenti (l=h-i)</t>
    </r>
    <r>
      <rPr>
        <b/>
        <vertAlign val="superscript"/>
        <sz val="12"/>
        <color indexed="8"/>
        <rFont val="Times New Roman"/>
        <family val="1"/>
      </rPr>
      <t>(1)</t>
    </r>
  </si>
  <si>
    <t>(*) Allegato obbligatorio nel caso in cui il bilancio di previsione preveda l’utilizzo delle quote vincolate del risultato di amministrazione presunto</t>
  </si>
  <si>
    <t>(1) Importo immediatamente utilizzabile nelle more dell'approvazione del rendiconto. Nel corso dell'esercizio provvisorio è utilizzabile nei limiti di quanto previsto nel principio applicato della contabilità finanziaria.</t>
  </si>
  <si>
    <t>Allegato a/3)  Risultato di amministrazione - quote destinate</t>
  </si>
  <si>
    <t>ELENCO ANALITICO DELLE RISORSE DESTINATE AGLI INVESTIMENTI NEL RISULTATO DI AMMINISTRAZIONE PRESUNTO (*)</t>
  </si>
  <si>
    <t>Capitolo di entrata</t>
  </si>
  <si>
    <t>Descriz.</t>
  </si>
  <si>
    <t>Capitolo di spesa</t>
  </si>
  <si>
    <r>
      <t xml:space="preserve">Risorse destinate agli investim. 
</t>
    </r>
    <r>
      <rPr>
        <b/>
        <sz val="10"/>
        <color indexed="8"/>
        <rFont val="Times New Roman"/>
        <family val="1"/>
      </rPr>
      <t>al 1/1/ N-1</t>
    </r>
  </si>
  <si>
    <t>Entrate destinate agli investimenti accertate nell'esercizio N -1 (dato presunto)</t>
  </si>
  <si>
    <t xml:space="preserve">Impegni  eserc. N-1 finanziati da entrate destinate accertate nell'esercizio o da quote destinate  del risultato di amministrazione ( dati presunti) 
</t>
  </si>
  <si>
    <t>Fondo plurien. vinc.  al 31/12/N-1 finanziato da entrate destinate accertate nell'esercizio o da quote destinate  del risultato di amministrazione</t>
  </si>
  <si>
    <t>Cancellazione di residui attivi costituiti da risorse destinate agli investimenti  o eliminazione della destinazione  su quote del risultato di amministrazione (+) e cancellazione di residui passivi finanziati da risorse destinate agli investimenti (-) (gestione dei residui)</t>
  </si>
  <si>
    <t>Risorse destinate agli investimenti nel risultato di amministrazione presunto al 31/12/ N-1</t>
  </si>
  <si>
    <t>Risorse destinate agli investimenti nel risultato presunte al 31/12/ N-1 applicate al primo esercizio del bilancio di previsione</t>
  </si>
  <si>
    <t>(f)=(a) +(b) -( c)-(d)-(e)</t>
  </si>
  <si>
    <t>(g)</t>
  </si>
  <si>
    <t>Totale quote accantonate nel risultato di amministrzione presunto riguardanti  le risorse destinate agli investimenti</t>
  </si>
  <si>
    <r>
      <t xml:space="preserve">Totale risorse destinate nel risultato di amministrazione presunto al netto di quelle che sono state oggetto di accantonamenti </t>
    </r>
    <r>
      <rPr>
        <b/>
        <vertAlign val="superscript"/>
        <sz val="12"/>
        <color indexed="8"/>
        <rFont val="Times New Roman"/>
        <family val="1"/>
      </rPr>
      <t>(1)</t>
    </r>
  </si>
  <si>
    <t xml:space="preserve">(*) Allegato obbligatorio nel caso in cui il bilancio di previsione approvato dopo l'approvazione del rendiconto dell'esercizio N-1  preveda l’utilizzo delle quote del risultato di amministrazione destinate agli investimenti </t>
  </si>
  <si>
    <t>(1) Le risorse destinate agli investimenti costituiscono una componente del risultato di amministrazione utilizzabile solo a seguito dell'approvazione del rendiconto dell'esercizio precedente.</t>
  </si>
  <si>
    <t>IRAP retribuzioni ufficio segreteria</t>
  </si>
  <si>
    <t>Retribuzioni comando polizia municipale</t>
  </si>
  <si>
    <t>Oneri contributivi comando polizia municipale</t>
  </si>
  <si>
    <t>Oneri contributivi su salario accessorio personale dipendente (incentivo recupero evasione tributaria)</t>
  </si>
  <si>
    <t>Fondo salario accessorio personale dipendente (incentivo recupero evasione tributaria)</t>
  </si>
  <si>
    <t>IRAP su salario accessorio personale dipendente (incentivo recupero evasione tributaria)</t>
  </si>
  <si>
    <t>FONDI PER LA CONTRATTAZIONE INTEGRATIVA UFFICIO TECNICO (COMMA 3, ART. 113, D.LGS. 50/2016)</t>
  </si>
  <si>
    <t>ONERI RIFLESSI SU FONDI PER LA CONTRATTAZIONE INTEGRATIVA UFFICIO TECNICO (COMMA 3, ART. 113, D.LGS. 50/2016)</t>
  </si>
  <si>
    <t>IRAP SU FONDI PER LA CONTRATTAZIONE INTEGRATIVA UFFICIO TECNICO (COMMA 3, ART. 113, D.LGS. 50/2016)</t>
  </si>
  <si>
    <t>3.05.99.02.000</t>
  </si>
  <si>
    <t>Acquisto attrezzature hardware per servizi generali (finanziato da entrate correnti - 20% incentivi tecnici)</t>
  </si>
  <si>
    <r>
      <t>FONDI INCENTIVANTI PER IL PERSONALE UFFICIO TECNICO (COMMA 3, ART. 113, D.LGS. 50/2016)</t>
    </r>
    <r>
      <rPr>
        <sz val="9"/>
        <color indexed="10"/>
        <rFont val="Calibri"/>
        <family val="2"/>
      </rPr>
      <t xml:space="preserve"> (80% per spesa di personale)</t>
    </r>
  </si>
  <si>
    <r>
      <t>FONDI INCENTIVANTI PER IL PERSONALE UFFICIO TECNICO (COMMA 3, ART. 113, D.LGS. 50/2016)</t>
    </r>
    <r>
      <rPr>
        <sz val="9"/>
        <color indexed="10"/>
        <rFont val="Calibri"/>
        <family val="2"/>
      </rPr>
      <t xml:space="preserve"> (20% per acquisto attrezzature)</t>
    </r>
  </si>
  <si>
    <t>Fondo rinnovi CCNL personale dipendente (3,7% su retribuzioni base di euro 293.000,00 + oneri riflessi)</t>
  </si>
  <si>
    <t>2.01.01.01.001</t>
  </si>
  <si>
    <t>Trasferimento Stato - Protezione Civile Nazionale - per emergenza sanitaria coronavirus</t>
  </si>
  <si>
    <t>Introiti e rimborsi diversi (quota ristoro mutui fognatura e concessione rete gas)</t>
  </si>
  <si>
    <t>Altre ritenute al personale c/terzi</t>
  </si>
  <si>
    <t>151/1</t>
  </si>
  <si>
    <t>Utenze e canoni per uffici comunali</t>
  </si>
  <si>
    <t>Spese per acquisto di beni e servizi per emergenza coronavirus Covid-19</t>
  </si>
  <si>
    <t>1.04.04.01.001</t>
  </si>
  <si>
    <t>Servizio utilizzo obitorio ospedaliero</t>
  </si>
  <si>
    <t>Fondo rischi e accantonamenti futuri (indennità fine mandato)</t>
  </si>
  <si>
    <t>Adeguamento viabilità e parcheggi Vie Cattaneo, Julia, 2 Giugno - Primo stralcio</t>
  </si>
  <si>
    <t>Realizzazione nuovo parcheggio cimitero di Colzè</t>
  </si>
  <si>
    <t>2065/4</t>
  </si>
  <si>
    <t>Lavori di risanamento platea palatenda impianti sportivi Settecolli</t>
  </si>
  <si>
    <t>Realizzazione Piano degli interventi e piano delle acque</t>
  </si>
  <si>
    <t>Contributo Regione Veneto per realizzazione nuovo parcheggio cimitero di Colzè (Spesa capitolo 2155)</t>
  </si>
  <si>
    <t>Contributo regionale per ampliamento scuole medie (Spesa capitolo 2045)</t>
  </si>
  <si>
    <t>Contributo regionale per realizzazzione nuova scuola primaria A. Fogazzaro (Spesa capitolo 2046)</t>
  </si>
  <si>
    <t>Contributo regionale per percorso pedociclabile di via Borgo-Secondo stralcio (Spesa capitolo 2070/17)</t>
  </si>
  <si>
    <t>Contributo Provincia per piano interventi parcheggi vie Cattaneo, 2 Giugno e via Divisione Julia (Spesa capitolo 2070/18)</t>
  </si>
  <si>
    <t>Spesa per assistenza impianto di videosorveglianza</t>
  </si>
  <si>
    <t>3.05.99.99.999</t>
  </si>
  <si>
    <t>Rimborso da privati per soccombenza liti legali</t>
  </si>
  <si>
    <t>977/4</t>
  </si>
  <si>
    <t>TITOLO 4 - Tipologia 402</t>
  </si>
  <si>
    <t>402</t>
  </si>
  <si>
    <t>4.02.03.03.000</t>
  </si>
  <si>
    <t>Mutuo per realizzazione nuova scuola primaria A.Fogazzaro</t>
  </si>
  <si>
    <t>Acquisto libri biblioteca (Contributo Stato COVID) (Entrata cap. 131)</t>
  </si>
  <si>
    <t>Trasferimento Stato per acquisto libri biblioteca (COVID) (Spesa capitolo 601)</t>
  </si>
  <si>
    <t>Trasferimento Stato - Per centri estivi su emergenza sanitaria coronavirus (Spesa capitolo 883)</t>
  </si>
  <si>
    <t>Contributo statale per acquisto arredi scolastici emergenza COVID 2020 (Spesa capitolo 1511)</t>
  </si>
  <si>
    <t>Acquisto mobili ed attrezzature scolastiche emergenza COVID 2020 (finanziato con contributo Stato) (Entrata capitolo 977/4)</t>
  </si>
  <si>
    <t>Acquisto mobili ed attrezzature scolastiche emergenza COVID 2020 (finanziato con fondi propri)</t>
  </si>
  <si>
    <t>Realizzazione cappotto esterno scuole medie - Spese di progettazione - Finanziato da contributo Stato (Entrata capitolo 975)</t>
  </si>
  <si>
    <t>Contributo statale per progettazione coibentazione esterna scuole medie (Spesa capitolo 2044)</t>
  </si>
  <si>
    <t>Pista ciclabile Via Roi tratto Monastero San Marco-Via Fogazzaro - Spese di progettazione (finanziato con contributo Stato)(Entrata capitolo 976)</t>
  </si>
  <si>
    <t>Contributo statale per progettazione pista ciclabile Via Roi tratto monastero San Marco-Via Fogazzaro (Spesa capitolo 2075)</t>
  </si>
  <si>
    <t>Rifacimento illuminazione con impianto LED palatenda impianti sportivi Settecolli</t>
  </si>
  <si>
    <t>Costruzione nuova scuola primaria A. Fogazzaro (Entrata capitoli 991 + 1133)</t>
  </si>
  <si>
    <t>Contributo da Consorzio di Bonifica Brenta per rifacimento ponticello Via Settimo (Spesa capitolo 2106)</t>
  </si>
  <si>
    <t>Rifacimento ponticello su scolo Settimo in via Settimo (Entrata capitolo 1068)</t>
  </si>
  <si>
    <t>Trasferimento a Comune di Grisignano per rifacimento ponticello su scolo Paluella pista ciclabile Trevisio Ostiglia</t>
  </si>
  <si>
    <t>Realizzazione P.A.T. (Piano assetto territoriale)</t>
  </si>
  <si>
    <t>Contributo Provincia per progettazione viabilità Via Cattaneo (Spesa capitolo 1524)</t>
  </si>
  <si>
    <t>Contributo statale per realizzazione idrovora Gabarda -Legge 205/2017 art. 1 comma 853</t>
  </si>
  <si>
    <t>2070/20</t>
  </si>
  <si>
    <t>2070/21</t>
  </si>
  <si>
    <t>996/3</t>
  </si>
  <si>
    <t>Contributo statale per realizzazione cappotto esterno scuole medie (Spesa capitolo 2039)</t>
  </si>
  <si>
    <t>Contributo regionale per pista ciclabile di Via Roi tratto Monastero San Marco-Via Fogazzaro (Spesa capitolo 2070/21)</t>
  </si>
  <si>
    <t>Riqualificazione arredo urbano e aree verdi comunali (Entrata cap. 1050)</t>
  </si>
  <si>
    <t>Ampliamento sistema di videosorveglianza (Via Marangoni-Via Montecroce-Cimitero Montegalda-Cimitero Colzè) (Entrata capitolo 1050)</t>
  </si>
  <si>
    <t>Adeguamento rotatoria Via Valsolda con realizzazione pista ciclabile tratto rotatoria-casa Pegoraro (Entrata capitolo 1050)</t>
  </si>
  <si>
    <t>Pista ciclabile di Via Roi tratto Monastero San Marco-Via Fogazzaro (Entrata capitoli 980+1050)</t>
  </si>
  <si>
    <t>Adeguamento viabiltà via Zocco - Pista ciclabile e SP (tratto Coppo) (Entrata capitoli 996/3+1050)</t>
  </si>
  <si>
    <t>Acquisto arredi nuovo polo scolastico (Entrata capitolo 1050)</t>
  </si>
  <si>
    <t>Contributo Provincia per percorso pedociclabile di Via Borgo 2° stralcio</t>
  </si>
  <si>
    <t>Contributo Regione Veneto per manutenzione straordinaria campo sportivo Settecolli (Spesa cap. 2065/2)</t>
  </si>
  <si>
    <t>Manutenzione straordinaria campo sportivo Settecolli (Entrata capitoli  982+1050)</t>
  </si>
  <si>
    <t>Manutenzioni straordinarie patrimonio comunale (Entrata capitolo 1050)</t>
  </si>
  <si>
    <t>PREVISIONE DI CASSA 2021</t>
  </si>
  <si>
    <t>133/1</t>
  </si>
  <si>
    <t>Trasferimento Stato - Per esercizio funzioni fondamentali su emergenza sanitaria coronavirus - per compensare minori entrate IMU</t>
  </si>
  <si>
    <t>133/2</t>
  </si>
  <si>
    <t>Trasferimento Stato - Per esercizio funzioni fondamentali su emergenza sanitaria coronavirus - per compensare minori entrate TARI</t>
  </si>
  <si>
    <t>Trasferimento Stato - Per esercizio funzioni fondamentali su emergenza sanitaria coronavirus - per compensare minori entrate COSAP</t>
  </si>
  <si>
    <t>Trasferimento Stato - Per esercizio funzioni fondamentali su emergenza sanitaria coronavirus - per compensare minori entrate proventi trasporto scolastico</t>
  </si>
  <si>
    <t>Compartecipazione spese Consorzio vigilanza</t>
  </si>
  <si>
    <t>Quota TEFA alla  Provincia su TARES</t>
  </si>
  <si>
    <t>Trasferimento fondi da privati (donazioni per emergenza Covid)</t>
  </si>
  <si>
    <t>Spese di progettazione relative a costruzione nuova scuola primaria A. Fogazzaro</t>
  </si>
  <si>
    <r>
      <t>P) Utilizzo risultato di amministrazione presunto per spese di investimento</t>
    </r>
    <r>
      <rPr>
        <vertAlign val="superscript"/>
        <sz val="11"/>
        <color indexed="8"/>
        <rFont val="Calibri"/>
        <family val="2"/>
      </rPr>
      <t xml:space="preserve"> (2)</t>
    </r>
  </si>
  <si>
    <t>Fondo di riserva di cassa</t>
  </si>
  <si>
    <t>960/1</t>
  </si>
  <si>
    <t>3.04.07.01.001</t>
  </si>
  <si>
    <t>5.04.07.01.001</t>
  </si>
  <si>
    <t>1.10.99.99.999</t>
  </si>
  <si>
    <t>1.04.01.01.001</t>
  </si>
  <si>
    <t>1.01.02.01.001</t>
  </si>
  <si>
    <t>1.01.01.01.004</t>
  </si>
  <si>
    <t>1.04.02.03.001</t>
  </si>
  <si>
    <t>1.03.02.99.999</t>
  </si>
  <si>
    <t>1.01.01.01.001</t>
  </si>
  <si>
    <t>1.03.02.15.009</t>
  </si>
  <si>
    <t>1.04.02.02.999</t>
  </si>
  <si>
    <t>Contributi a privati interventi assistenziali in relazione ad emergenza sanitaria coronavirus</t>
  </si>
  <si>
    <t>Contributi a privati percentri estivi 2020 emergenza sanitaria coronavirus (Entrata capitolo 134)</t>
  </si>
  <si>
    <t>Contributi per maggiore spesa per trasporto scolastico emergenza COVID finanziato da trasferimento Stato - D.L. 154 del 24/11/2020</t>
  </si>
  <si>
    <t>1.10.01.01.001</t>
  </si>
  <si>
    <t>1.06.01.01.002</t>
  </si>
  <si>
    <t>1.06.01.01.001</t>
  </si>
  <si>
    <t>1.03.02.19.001</t>
  </si>
  <si>
    <t>1.01.01.01.006</t>
  </si>
  <si>
    <t>1.04.01.02.003</t>
  </si>
  <si>
    <t>1.03.02.01.001</t>
  </si>
  <si>
    <t>1.02.01.01.001</t>
  </si>
  <si>
    <t>2.02.01.09.999</t>
  </si>
  <si>
    <t>2.02.01.99.999</t>
  </si>
  <si>
    <t>2.02.01.09.003</t>
  </si>
  <si>
    <t>2065/6</t>
  </si>
  <si>
    <t>2070/23</t>
  </si>
  <si>
    <t>2070/24</t>
  </si>
  <si>
    <t>2.02.01.09.016</t>
  </si>
  <si>
    <t>2.02.01.05.999</t>
  </si>
  <si>
    <t>2.02.02.01.999</t>
  </si>
  <si>
    <t>2.03.01.02.003</t>
  </si>
  <si>
    <t>2.02.01.09.012</t>
  </si>
  <si>
    <t>2.02.01.09.015</t>
  </si>
  <si>
    <r>
      <t>Debito contratto al 31/12/2021 (</t>
    </r>
    <r>
      <rPr>
        <i/>
        <sz val="10"/>
        <rFont val="Arial"/>
        <family val="2"/>
      </rPr>
      <t>esercizio precedente)</t>
    </r>
  </si>
  <si>
    <t>FONDO CASSA AL 1° GENNAIO 2021</t>
  </si>
  <si>
    <t>Sportello Unico atttività Edilizia ( SUE)</t>
  </si>
  <si>
    <t>2.04.21.02.999</t>
  </si>
  <si>
    <t>2.02.01.01.000</t>
  </si>
  <si>
    <t>2.05.99.99.999</t>
  </si>
  <si>
    <t>Trasferimento Stato - D.L. 154 del 24/11/2020 per maggiori spese trasporto scolastico</t>
  </si>
  <si>
    <t>Trasferimento Stato - D.L. 154 del 24/11/2020 per maggiori spese sociali (buoni spesa) (cap. 882 Spesa)</t>
  </si>
  <si>
    <t>2.01.02.01.000</t>
  </si>
  <si>
    <t>102</t>
  </si>
  <si>
    <t>COMPETENZA ANNO DI RIFERIMENTO DEL BILANCIO 2021</t>
  </si>
  <si>
    <t>RESIDUI PRESUNTI AL 31.12.2020              AL 12.01.2021</t>
  </si>
  <si>
    <t>PREVISIONE 2020                            al 12.01.2021</t>
  </si>
  <si>
    <t>RESIDUI PRESUNTI AL 31.12.2020                 AL 12.01.2021</t>
  </si>
  <si>
    <t>PREVISIONE 2020          al 12.01.2021</t>
  </si>
  <si>
    <t>Contributo statale per efficientamento energetico illuminazione pubblica (LED) (Spesa capitolo 2070/16)</t>
  </si>
  <si>
    <t>2065/7</t>
  </si>
  <si>
    <t>Riqualificazione impianti sportivi di Via Divisione Julia 1° stralcio : realizzazione pista polivalente (Entrata cap. 1050)</t>
  </si>
  <si>
    <t>Efficientamento illuminazione pubblica - LED (Entrata capitoli 980+1050)</t>
  </si>
  <si>
    <t>2070/25</t>
  </si>
  <si>
    <t>Messa in sicurezza viabilità/infrastrutture stradali : spese di progettazione per adeguamento della viabilità di via Zocco (tratto famiglia Coppo) e tratto rotatoria Via Valsolda (casa Pegoraro) (Entrata capitolo 1050)</t>
  </si>
  <si>
    <t>Efficientamento energetico scuola secondaria G. Toaldo (Entrata capitoli 977/5)</t>
  </si>
  <si>
    <t>977/5</t>
  </si>
  <si>
    <t>Contributo statale per efficientamento energetico (Spesa capitolo 2039)</t>
  </si>
  <si>
    <t>Contributo Provincia di  Vicenza per adeguamento della viabilità di Via Zocco (tratto famiglia Coppo) e tratto rotatoria Via Valsolda) e asfaltature (Spesa capitolo 2039)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</si>
</sst>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_-* #,##0.000_-;\-* #,##0.000_-;_-* &quot;-&quot;??_-;_-@_-"/>
    <numFmt numFmtId="179" formatCode="_-* #,##0.0000_-;\-* #,##0.0000_-;_-* &quot;-&quot;??_-;_-@_-"/>
    <numFmt numFmtId="180" formatCode="_-* #,##0.0_-;\-* #,##0.0_-;_-* &quot;-&quot;_-;_-@_-"/>
    <numFmt numFmtId="181" formatCode="_-* #,##0.00_-;\-* #,##0.00_-;_-* &quot;-&quot;_-;_-@_-"/>
    <numFmt numFmtId="182" formatCode="0.0"/>
    <numFmt numFmtId="183" formatCode="[$-410]dddd\ d\ mmmm\ yyyy"/>
    <numFmt numFmtId="184" formatCode="#,##0_ ;\-#,##0\ "/>
    <numFmt numFmtId="185" formatCode="#,##0.00_ ;\-#,##0.00\ "/>
    <numFmt numFmtId="186" formatCode="_-* #,##0_-;\-* #,##0_-;_-* &quot;-&quot;??_-;_-@_-"/>
    <numFmt numFmtId="187" formatCode="&quot;€&quot;\ #,##0.00"/>
    <numFmt numFmtId="188" formatCode="0.0000"/>
    <numFmt numFmtId="189" formatCode="#,##0.0000"/>
  </numFmts>
  <fonts count="133">
    <font>
      <sz val="10"/>
      <name val="Arial"/>
      <family val="0"/>
    </font>
    <font>
      <b/>
      <sz val="16"/>
      <name val="Arial"/>
      <family val="2"/>
    </font>
    <font>
      <sz val="16"/>
      <name val="Arial"/>
      <family val="2"/>
    </font>
    <font>
      <b/>
      <sz val="11"/>
      <name val="Arial"/>
      <family val="2"/>
    </font>
    <font>
      <b/>
      <sz val="10"/>
      <name val="Arial"/>
      <family val="2"/>
    </font>
    <font>
      <b/>
      <sz val="12"/>
      <name val="Arial"/>
      <family val="2"/>
    </font>
    <font>
      <sz val="11"/>
      <name val="Arial"/>
      <family val="2"/>
    </font>
    <font>
      <b/>
      <sz val="14"/>
      <name val="Arial"/>
      <family val="2"/>
    </font>
    <font>
      <u val="single"/>
      <sz val="10"/>
      <color indexed="12"/>
      <name val="Arial"/>
      <family val="2"/>
    </font>
    <font>
      <u val="single"/>
      <sz val="10"/>
      <color indexed="36"/>
      <name val="Arial"/>
      <family val="2"/>
    </font>
    <font>
      <sz val="10"/>
      <color indexed="10"/>
      <name val="Arial"/>
      <family val="2"/>
    </font>
    <font>
      <b/>
      <sz val="11"/>
      <color indexed="10"/>
      <name val="Arial"/>
      <family val="2"/>
    </font>
    <font>
      <i/>
      <sz val="17"/>
      <color indexed="10"/>
      <name val="Arial"/>
      <family val="2"/>
    </font>
    <font>
      <b/>
      <sz val="20"/>
      <name val="Arial"/>
      <family val="2"/>
    </font>
    <font>
      <b/>
      <sz val="18"/>
      <name val="Arial"/>
      <family val="2"/>
    </font>
    <font>
      <sz val="10"/>
      <name val="Calibri"/>
      <family val="2"/>
    </font>
    <font>
      <sz val="11"/>
      <color indexed="8"/>
      <name val="Calibri"/>
      <family val="2"/>
    </font>
    <font>
      <b/>
      <sz val="11"/>
      <color indexed="8"/>
      <name val="Calibri"/>
      <family val="2"/>
    </font>
    <font>
      <sz val="8"/>
      <name val="Arial"/>
      <family val="2"/>
    </font>
    <font>
      <b/>
      <sz val="16"/>
      <color indexed="8"/>
      <name val="Calibri"/>
      <family val="2"/>
    </font>
    <font>
      <sz val="11"/>
      <name val="Calibri"/>
      <family val="2"/>
    </font>
    <font>
      <b/>
      <sz val="11"/>
      <color indexed="10"/>
      <name val="Calibri"/>
      <family val="2"/>
    </font>
    <font>
      <b/>
      <sz val="11"/>
      <name val="Calibri"/>
      <family val="2"/>
    </font>
    <font>
      <i/>
      <sz val="11"/>
      <name val="Calibri"/>
      <family val="2"/>
    </font>
    <font>
      <i/>
      <sz val="11"/>
      <color indexed="8"/>
      <name val="Calibri"/>
      <family val="2"/>
    </font>
    <font>
      <b/>
      <sz val="8"/>
      <name val="Tahoma"/>
      <family val="2"/>
    </font>
    <font>
      <b/>
      <sz val="10"/>
      <color indexed="10"/>
      <name val="Arial"/>
      <family val="2"/>
    </font>
    <font>
      <b/>
      <sz val="10"/>
      <color indexed="12"/>
      <name val="Arial"/>
      <family val="2"/>
    </font>
    <font>
      <b/>
      <sz val="16"/>
      <color indexed="10"/>
      <name val="Arial"/>
      <family val="2"/>
    </font>
    <font>
      <b/>
      <sz val="20"/>
      <color indexed="10"/>
      <name val="Arial"/>
      <family val="2"/>
    </font>
    <font>
      <sz val="12"/>
      <name val="Arial"/>
      <family val="2"/>
    </font>
    <font>
      <b/>
      <sz val="12"/>
      <color indexed="10"/>
      <name val="Arial"/>
      <family val="2"/>
    </font>
    <font>
      <b/>
      <sz val="12"/>
      <color indexed="8"/>
      <name val="Calibri"/>
      <family val="2"/>
    </font>
    <font>
      <sz val="12"/>
      <color indexed="8"/>
      <name val="Arial"/>
      <family val="2"/>
    </font>
    <font>
      <sz val="12"/>
      <color indexed="10"/>
      <name val="Arial"/>
      <family val="2"/>
    </font>
    <font>
      <sz val="12"/>
      <color indexed="12"/>
      <name val="Arial"/>
      <family val="2"/>
    </font>
    <font>
      <b/>
      <sz val="18"/>
      <color indexed="8"/>
      <name val="Calibri"/>
      <family val="2"/>
    </font>
    <font>
      <sz val="10"/>
      <color indexed="12"/>
      <name val="Arial"/>
      <family val="2"/>
    </font>
    <font>
      <b/>
      <sz val="14"/>
      <color indexed="8"/>
      <name val="Arial"/>
      <family val="2"/>
    </font>
    <font>
      <b/>
      <sz val="12"/>
      <color indexed="12"/>
      <name val="Arial"/>
      <family val="2"/>
    </font>
    <font>
      <b/>
      <sz val="12"/>
      <color indexed="14"/>
      <name val="Arial"/>
      <family val="2"/>
    </font>
    <font>
      <b/>
      <sz val="9"/>
      <name val="Tahoma"/>
      <family val="2"/>
    </font>
    <font>
      <b/>
      <sz val="9"/>
      <color indexed="10"/>
      <name val="Tahoma"/>
      <family val="2"/>
    </font>
    <font>
      <i/>
      <sz val="10"/>
      <name val="Arial"/>
      <family val="2"/>
    </font>
    <font>
      <b/>
      <sz val="11"/>
      <color indexed="8"/>
      <name val="Arial"/>
      <family val="2"/>
    </font>
    <font>
      <b/>
      <i/>
      <sz val="10"/>
      <name val="Arial"/>
      <family val="2"/>
    </font>
    <font>
      <sz val="14"/>
      <name val="Arial"/>
      <family val="2"/>
    </font>
    <font>
      <b/>
      <sz val="10"/>
      <name val="Tahoma"/>
      <family val="2"/>
    </font>
    <font>
      <sz val="10"/>
      <color indexed="8"/>
      <name val="Arial"/>
      <family val="2"/>
    </font>
    <font>
      <b/>
      <sz val="14"/>
      <color indexed="8"/>
      <name val="Calibri"/>
      <family val="2"/>
    </font>
    <font>
      <b/>
      <sz val="14"/>
      <name val="Calibri"/>
      <family val="2"/>
    </font>
    <font>
      <sz val="12"/>
      <color indexed="8"/>
      <name val="Calibri"/>
      <family val="2"/>
    </font>
    <font>
      <b/>
      <vertAlign val="superscript"/>
      <sz val="11"/>
      <name val="Calibri"/>
      <family val="2"/>
    </font>
    <font>
      <b/>
      <vertAlign val="superscript"/>
      <sz val="11"/>
      <color indexed="8"/>
      <name val="Calibri"/>
      <family val="2"/>
    </font>
    <font>
      <vertAlign val="superscript"/>
      <sz val="11"/>
      <name val="Calibri"/>
      <family val="2"/>
    </font>
    <font>
      <b/>
      <strike/>
      <vertAlign val="superscript"/>
      <sz val="11"/>
      <name val="Calibri"/>
      <family val="2"/>
    </font>
    <font>
      <b/>
      <sz val="16"/>
      <name val="Calibri"/>
      <family val="2"/>
    </font>
    <font>
      <b/>
      <i/>
      <sz val="16"/>
      <color indexed="8"/>
      <name val="Calibri"/>
      <family val="2"/>
    </font>
    <font>
      <b/>
      <vertAlign val="superscript"/>
      <sz val="16"/>
      <color indexed="8"/>
      <name val="Calibri"/>
      <family val="2"/>
    </font>
    <font>
      <strike/>
      <sz val="11"/>
      <color indexed="8"/>
      <name val="Calibri"/>
      <family val="2"/>
    </font>
    <font>
      <vertAlign val="superscript"/>
      <sz val="11"/>
      <color indexed="8"/>
      <name val="Calibri"/>
      <family val="2"/>
    </font>
    <font>
      <strike/>
      <sz val="11"/>
      <name val="Calibri"/>
      <family val="2"/>
    </font>
    <font>
      <b/>
      <strike/>
      <sz val="11"/>
      <name val="Calibri"/>
      <family val="2"/>
    </font>
    <font>
      <b/>
      <sz val="12"/>
      <name val="Calibri"/>
      <family val="2"/>
    </font>
    <font>
      <b/>
      <sz val="12"/>
      <name val="Times New Roman"/>
      <family val="1"/>
    </font>
    <font>
      <b/>
      <sz val="11"/>
      <name val="Times New Roman"/>
      <family val="1"/>
    </font>
    <font>
      <b/>
      <vertAlign val="superscript"/>
      <sz val="11"/>
      <name val="Times New Roman"/>
      <family val="1"/>
    </font>
    <font>
      <b/>
      <strike/>
      <sz val="12"/>
      <name val="Times New Roman"/>
      <family val="1"/>
    </font>
    <font>
      <b/>
      <vertAlign val="superscript"/>
      <sz val="12"/>
      <name val="Times New Roman"/>
      <family val="1"/>
    </font>
    <font>
      <vertAlign val="superscript"/>
      <sz val="12"/>
      <color indexed="8"/>
      <name val="Times New Roman"/>
      <family val="1"/>
    </font>
    <font>
      <i/>
      <sz val="7"/>
      <color indexed="8"/>
      <name val="Times New Roman"/>
      <family val="1"/>
    </font>
    <font>
      <i/>
      <sz val="12"/>
      <color indexed="8"/>
      <name val="Times New Roman"/>
      <family val="1"/>
    </font>
    <font>
      <b/>
      <sz val="18"/>
      <name val="Calibri"/>
      <family val="2"/>
    </font>
    <font>
      <b/>
      <strike/>
      <sz val="11"/>
      <name val="Times New Roman"/>
      <family val="1"/>
    </font>
    <font>
      <b/>
      <vertAlign val="superscript"/>
      <sz val="12"/>
      <color indexed="8"/>
      <name val="Times New Roman"/>
      <family val="1"/>
    </font>
    <font>
      <b/>
      <sz val="12"/>
      <color indexed="8"/>
      <name val="Times New Roman"/>
      <family val="1"/>
    </font>
    <font>
      <b/>
      <sz val="10"/>
      <color indexed="8"/>
      <name val="Times New Roman"/>
      <family val="1"/>
    </font>
    <font>
      <sz val="9"/>
      <color indexed="1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trike/>
      <vertAlign val="superscript"/>
      <sz val="11"/>
      <color indexed="8"/>
      <name val="Calibri"/>
      <family val="2"/>
    </font>
    <font>
      <sz val="12"/>
      <color indexed="8"/>
      <name val="Times New Roman"/>
      <family val="1"/>
    </font>
    <font>
      <sz val="10"/>
      <color indexed="8"/>
      <name val="Calibri"/>
      <family val="2"/>
    </font>
    <font>
      <b/>
      <sz val="11"/>
      <color indexed="8"/>
      <name val="Times New Roman"/>
      <family val="1"/>
    </font>
    <font>
      <i/>
      <sz val="11"/>
      <color indexed="8"/>
      <name val="Times New Roman"/>
      <family val="1"/>
    </font>
    <font>
      <sz val="9"/>
      <name val="Calibri"/>
      <family val="2"/>
    </font>
    <font>
      <u val="single"/>
      <sz val="12"/>
      <color indexed="8"/>
      <name val="Times New Roman"/>
      <family val="1"/>
    </font>
    <font>
      <i/>
      <sz val="12"/>
      <color indexed="8"/>
      <name val="Cambria"/>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rgb="FFFF0000"/>
      <name val="Arial"/>
      <family val="2"/>
    </font>
    <font>
      <b/>
      <sz val="12"/>
      <color rgb="FFFF0000"/>
      <name val="Arial"/>
      <family val="2"/>
    </font>
    <font>
      <i/>
      <sz val="11"/>
      <color theme="1"/>
      <name val="Calibri"/>
      <family val="2"/>
    </font>
    <font>
      <vertAlign val="superscript"/>
      <sz val="11"/>
      <color theme="1"/>
      <name val="Calibri"/>
      <family val="2"/>
    </font>
    <font>
      <strike/>
      <vertAlign val="superscript"/>
      <sz val="11"/>
      <color theme="1"/>
      <name val="Calibri"/>
      <family val="2"/>
    </font>
    <font>
      <sz val="12"/>
      <color rgb="FF000000"/>
      <name val="Times New Roman"/>
      <family val="1"/>
    </font>
    <font>
      <i/>
      <sz val="12"/>
      <color rgb="FF000000"/>
      <name val="Times New Roman"/>
      <family val="1"/>
    </font>
    <font>
      <sz val="10"/>
      <color theme="1"/>
      <name val="Calibri"/>
      <family val="2"/>
    </font>
    <font>
      <b/>
      <sz val="12"/>
      <color rgb="FF000000"/>
      <name val="Times New Roman"/>
      <family val="1"/>
    </font>
    <font>
      <b/>
      <sz val="11"/>
      <color rgb="FF000000"/>
      <name val="Times New Roman"/>
      <family val="1"/>
    </font>
    <font>
      <i/>
      <sz val="11"/>
      <color rgb="FF000000"/>
      <name val="Times New Roman"/>
      <family val="1"/>
    </font>
    <font>
      <strike/>
      <sz val="11"/>
      <color theme="1"/>
      <name val="Calibri"/>
      <family val="2"/>
    </font>
    <font>
      <u val="single"/>
      <sz val="12"/>
      <color rgb="FF000000"/>
      <name val="Times New Roman"/>
      <family val="1"/>
    </font>
    <font>
      <i/>
      <sz val="12"/>
      <color theme="1"/>
      <name val="Cambria"/>
      <family val="1"/>
    </font>
    <font>
      <b/>
      <sz val="8"/>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1499900072813034"/>
        <bgColor indexed="64"/>
      </patternFill>
    </fill>
    <fill>
      <patternFill patternType="solid">
        <fgColor theme="0" tint="-0.3499799966812134"/>
        <bgColor indexed="64"/>
      </patternFill>
    </fill>
  </fills>
  <borders count="2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style="thin"/>
      <right style="thin"/>
      <top/>
      <bottom/>
    </border>
    <border>
      <left style="thin"/>
      <right style="thin"/>
      <top style="thin"/>
      <bottom>
        <color indexed="63"/>
      </bottom>
    </border>
    <border>
      <left/>
      <right style="thin"/>
      <top style="thin"/>
      <bottom/>
    </border>
    <border>
      <left style="thin"/>
      <right style="thin"/>
      <top>
        <color indexed="63"/>
      </top>
      <bottom style="thin"/>
    </border>
    <border>
      <left/>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style="medium"/>
      <right style="thin"/>
      <top>
        <color indexed="63"/>
      </top>
      <bottom style="thin"/>
    </border>
    <border>
      <left style="thin"/>
      <right style="medium"/>
      <top>
        <color indexed="63"/>
      </top>
      <bottom/>
    </border>
    <border>
      <left style="medium"/>
      <right style="thin"/>
      <top/>
      <bottom style="medium"/>
    </border>
    <border>
      <left style="medium"/>
      <right>
        <color indexed="63"/>
      </right>
      <top>
        <color indexed="63"/>
      </top>
      <bottom>
        <color indexed="63"/>
      </bottom>
    </border>
    <border>
      <left style="medium"/>
      <right style="thin"/>
      <top style="thin"/>
      <bottom/>
    </border>
    <border>
      <left style="medium"/>
      <right style="thin"/>
      <top style="thin"/>
      <bottom style="hair"/>
    </border>
    <border>
      <left/>
      <right style="thin"/>
      <top style="thin"/>
      <bottom style="hair"/>
    </border>
    <border>
      <left/>
      <right/>
      <top style="thin"/>
      <bottom/>
    </border>
    <border>
      <left style="thin"/>
      <right style="thin"/>
      <top/>
      <bottom style="double"/>
    </border>
    <border>
      <left>
        <color indexed="63"/>
      </left>
      <right style="thin"/>
      <top style="thin"/>
      <bottom style="thin"/>
    </border>
    <border>
      <left>
        <color indexed="63"/>
      </left>
      <right>
        <color indexed="63"/>
      </right>
      <top/>
      <bottom style="thin"/>
    </border>
    <border>
      <left style="thin"/>
      <right style="thin"/>
      <top style="thin"/>
      <bottom style="thin"/>
    </border>
    <border>
      <left>
        <color indexed="63"/>
      </left>
      <right>
        <color indexed="63"/>
      </right>
      <top style="thin"/>
      <bottom style="thin"/>
    </border>
    <border>
      <left style="thin"/>
      <right style="thin"/>
      <top>
        <color indexed="63"/>
      </top>
      <bottom style="medium"/>
    </border>
    <border>
      <left>
        <color indexed="63"/>
      </left>
      <right>
        <color indexed="63"/>
      </right>
      <top>
        <color indexed="63"/>
      </top>
      <bottom style="medium"/>
    </border>
    <border>
      <left style="thin"/>
      <right/>
      <top>
        <color indexed="63"/>
      </top>
      <bottom/>
    </border>
    <border>
      <left/>
      <right/>
      <top/>
      <bottom style="double"/>
    </border>
    <border>
      <left>
        <color indexed="63"/>
      </left>
      <right style="thin"/>
      <top style="medium"/>
      <bottom style="thin"/>
    </border>
    <border>
      <left style="medium"/>
      <right>
        <color indexed="63"/>
      </right>
      <top/>
      <bottom style="thin"/>
    </border>
    <border>
      <left style="medium"/>
      <right/>
      <top style="thin"/>
      <bottom/>
    </border>
    <border>
      <left style="medium"/>
      <right/>
      <top style="thin"/>
      <bottom style="thin"/>
    </border>
    <border>
      <left style="medium"/>
      <right/>
      <top/>
      <bottom style="medium"/>
    </border>
    <border>
      <left style="thin"/>
      <right style="medium"/>
      <top/>
      <bottom style="medium"/>
    </border>
    <border>
      <left style="medium"/>
      <right/>
      <top/>
      <bottom style="double"/>
    </border>
    <border>
      <left style="medium"/>
      <right style="thin"/>
      <top style="medium"/>
      <bottom style="medium"/>
    </border>
    <border>
      <left style="thin"/>
      <right style="medium"/>
      <top style="medium"/>
      <bottom style="medium"/>
    </border>
    <border>
      <left style="thin"/>
      <right style="medium"/>
      <top/>
      <bottom style="thin"/>
    </border>
    <border>
      <left/>
      <right style="thin"/>
      <top/>
      <bottom style="medium"/>
    </border>
    <border>
      <left style="thin"/>
      <right>
        <color indexed="63"/>
      </right>
      <top style="thin"/>
      <bottom style="thin"/>
    </border>
    <border>
      <left style="thin"/>
      <right>
        <color indexed="63"/>
      </right>
      <top>
        <color indexed="63"/>
      </top>
      <bottom style="thin"/>
    </border>
    <border>
      <left style="thin"/>
      <right>
        <color indexed="63"/>
      </right>
      <top>
        <color indexed="63"/>
      </top>
      <bottom style="medium"/>
    </border>
    <border>
      <left style="thin"/>
      <right>
        <color indexed="63"/>
      </right>
      <top style="medium"/>
      <bottom style="thin"/>
    </border>
    <border>
      <left style="thin"/>
      <right style="medium"/>
      <top style="thin"/>
      <bottom>
        <color indexed="63"/>
      </bottom>
    </border>
    <border>
      <left style="thin"/>
      <right>
        <color indexed="63"/>
      </right>
      <top style="thin"/>
      <bottom>
        <color indexed="63"/>
      </bottom>
    </border>
    <border>
      <left style="thin"/>
      <right style="thin"/>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thin"/>
      <right style="thin"/>
      <top style="thin"/>
      <bottom style="medium"/>
    </border>
    <border>
      <left style="thin"/>
      <right>
        <color indexed="63"/>
      </right>
      <top/>
      <bottom style="double"/>
    </border>
    <border>
      <left style="thin"/>
      <right style="medium"/>
      <top style="thin"/>
      <bottom style="thin"/>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thin"/>
      <bottom style="medium"/>
    </border>
    <border>
      <left style="thin"/>
      <right style="medium"/>
      <top style="thin"/>
      <bottom style="medium"/>
    </border>
    <border>
      <left style="medium"/>
      <right>
        <color indexed="63"/>
      </right>
      <top style="thin"/>
      <bottom style="medium"/>
    </border>
    <border>
      <left style="medium"/>
      <right style="thin"/>
      <top style="thin"/>
      <bottom style="thin"/>
    </border>
    <border>
      <left>
        <color indexed="63"/>
      </left>
      <right style="medium"/>
      <top style="thin"/>
      <bottom style="thin"/>
    </border>
    <border>
      <left>
        <color indexed="63"/>
      </left>
      <right>
        <color indexed="63"/>
      </right>
      <top style="thin"/>
      <bottom style="hair"/>
    </border>
    <border>
      <left style="thin"/>
      <right>
        <color indexed="63"/>
      </right>
      <top style="thin"/>
      <bottom style="hair"/>
    </border>
    <border>
      <left>
        <color indexed="63"/>
      </left>
      <right style="medium"/>
      <top style="medium"/>
      <bottom style="medium"/>
    </border>
    <border>
      <left style="thin"/>
      <right>
        <color indexed="63"/>
      </right>
      <top style="thin"/>
      <bottom style="medium"/>
    </border>
    <border>
      <left>
        <color indexed="63"/>
      </left>
      <right style="medium"/>
      <top style="medium"/>
      <bottom>
        <color indexed="63"/>
      </bottom>
    </border>
    <border>
      <left>
        <color indexed="63"/>
      </left>
      <right style="medium"/>
      <top style="medium"/>
      <bottom style="thin"/>
    </border>
    <border>
      <left style="thin"/>
      <right style="medium"/>
      <top style="thin"/>
      <bottom style="hair"/>
    </border>
    <border>
      <left style="hair"/>
      <right style="hair"/>
      <top>
        <color indexed="63"/>
      </top>
      <bottom style="hair"/>
    </border>
    <border>
      <left style="hair"/>
      <right style="hair"/>
      <top style="hair"/>
      <bottom style="hair"/>
    </border>
    <border>
      <left style="thin"/>
      <right style="double"/>
      <top style="thin"/>
      <bottom style="thin"/>
    </border>
    <border>
      <left style="thin"/>
      <right style="double"/>
      <top/>
      <bottom/>
    </border>
    <border>
      <left style="thin"/>
      <right style="thin"/>
      <top style="double"/>
      <bottom style="thin"/>
    </border>
    <border>
      <left style="thin"/>
      <right style="double"/>
      <top style="double"/>
      <bottom style="thin"/>
    </border>
    <border>
      <left>
        <color indexed="63"/>
      </left>
      <right>
        <color indexed="63"/>
      </right>
      <top style="medium"/>
      <bottom style="medium"/>
    </border>
    <border>
      <left style="medium"/>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style="hair"/>
      <right style="medium"/>
      <top>
        <color indexed="63"/>
      </top>
      <bottom style="hair"/>
    </border>
    <border>
      <left style="medium"/>
      <right style="hair"/>
      <top style="hair"/>
      <bottom style="hair"/>
    </border>
    <border>
      <left style="hair"/>
      <right>
        <color indexed="63"/>
      </right>
      <top style="hair"/>
      <bottom style="hair"/>
    </border>
    <border>
      <left/>
      <right/>
      <top style="hair"/>
      <bottom style="hair"/>
    </border>
    <border>
      <left style="hair"/>
      <right style="medium"/>
      <top style="hair"/>
      <bottom style="hair"/>
    </border>
    <border>
      <left style="thin"/>
      <right>
        <color indexed="63"/>
      </right>
      <top style="medium"/>
      <bottom style="medium"/>
    </border>
    <border>
      <left style="hair"/>
      <right>
        <color indexed="63"/>
      </right>
      <top style="medium"/>
      <bottom style="thin"/>
    </border>
    <border>
      <left style="hair"/>
      <right style="hair"/>
      <top style="medium"/>
      <bottom style="thin"/>
    </border>
    <border>
      <left>
        <color indexed="63"/>
      </left>
      <right style="hair"/>
      <top style="medium"/>
      <bottom style="medium"/>
    </border>
    <border>
      <left style="thin"/>
      <right style="thin"/>
      <top style="medium"/>
      <bottom style="medium"/>
    </border>
    <border>
      <left style="hair"/>
      <right>
        <color indexed="63"/>
      </right>
      <top style="medium"/>
      <bottom style="medium"/>
    </border>
    <border>
      <left style="hair"/>
      <right style="medium"/>
      <top style="medium"/>
      <bottom style="medium"/>
    </border>
    <border>
      <left>
        <color indexed="63"/>
      </left>
      <right style="hair"/>
      <top style="medium"/>
      <bottom style="thin"/>
    </border>
    <border>
      <left style="medium"/>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medium"/>
      <top style="hair"/>
      <bottom style="medium"/>
    </border>
    <border>
      <left>
        <color indexed="63"/>
      </left>
      <right style="thin"/>
      <top style="medium"/>
      <bottom style="medium"/>
    </border>
    <border>
      <left style="hair"/>
      <right>
        <color indexed="63"/>
      </right>
      <top>
        <color indexed="63"/>
      </top>
      <bottom>
        <color indexed="63"/>
      </bottom>
    </border>
    <border>
      <left>
        <color indexed="63"/>
      </left>
      <right>
        <color indexed="63"/>
      </right>
      <top style="medium"/>
      <bottom style="hair"/>
    </border>
    <border>
      <left style="hair"/>
      <right style="medium"/>
      <top style="medium"/>
      <bottom style="hair"/>
    </border>
    <border>
      <left style="medium"/>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color indexed="63"/>
      </left>
      <right>
        <color indexed="63"/>
      </right>
      <top style="hair"/>
      <bottom style="medium"/>
    </border>
    <border>
      <left/>
      <right>
        <color indexed="63"/>
      </right>
      <top style="medium"/>
      <bottom style="thin"/>
    </border>
    <border>
      <left style="hair"/>
      <right style="medium"/>
      <top style="hair"/>
      <bottom>
        <color indexed="63"/>
      </bottom>
    </border>
    <border>
      <left style="medium"/>
      <right style="hair"/>
      <top style="hair"/>
      <bottom style="medium"/>
    </border>
    <border>
      <left style="hair"/>
      <right style="hair"/>
      <top style="hair"/>
      <bottom style="medium"/>
    </border>
    <border>
      <left style="medium"/>
      <right style="hair"/>
      <top style="medium"/>
      <bottom style="medium"/>
    </border>
    <border>
      <left style="hair"/>
      <right style="hair"/>
      <top style="medium"/>
      <bottom style="medium"/>
    </border>
    <border>
      <left>
        <color indexed="63"/>
      </left>
      <right>
        <color indexed="63"/>
      </right>
      <top style="medium"/>
      <bottom>
        <color indexed="63"/>
      </bottom>
    </border>
    <border>
      <left style="hair"/>
      <right>
        <color indexed="63"/>
      </right>
      <top style="thin"/>
      <bottom>
        <color indexed="63"/>
      </bottom>
    </border>
    <border>
      <left style="hair"/>
      <right style="medium"/>
      <top style="thin"/>
      <bottom>
        <color indexed="63"/>
      </bottom>
    </border>
    <border>
      <left style="medium"/>
      <right style="hair"/>
      <top>
        <color indexed="63"/>
      </top>
      <bottom style="medium"/>
    </border>
    <border>
      <left style="hair"/>
      <right style="hair"/>
      <top>
        <color indexed="63"/>
      </top>
      <bottom style="medium"/>
    </border>
    <border>
      <left style="hair"/>
      <right>
        <color indexed="63"/>
      </right>
      <top>
        <color indexed="63"/>
      </top>
      <bottom style="medium"/>
    </border>
    <border>
      <left style="thin"/>
      <right style="thin"/>
      <top style="double"/>
      <bottom style="double"/>
    </border>
    <border>
      <left>
        <color indexed="63"/>
      </left>
      <right style="medium"/>
      <top style="double"/>
      <bottom style="double"/>
    </border>
    <border>
      <left style="medium"/>
      <right>
        <color indexed="63"/>
      </right>
      <top style="double"/>
      <bottom style="double"/>
    </border>
    <border>
      <left>
        <color indexed="63"/>
      </left>
      <right style="medium"/>
      <top style="double"/>
      <bottom>
        <color indexed="63"/>
      </bottom>
    </border>
    <border>
      <left>
        <color indexed="63"/>
      </left>
      <right style="medium"/>
      <top>
        <color indexed="63"/>
      </top>
      <bottom style="medium"/>
    </border>
    <border>
      <left>
        <color indexed="63"/>
      </left>
      <right style="medium"/>
      <top>
        <color indexed="63"/>
      </top>
      <bottom>
        <color indexed="63"/>
      </bottom>
    </border>
    <border>
      <left style="hair"/>
      <right>
        <color indexed="63"/>
      </right>
      <top style="thin"/>
      <bottom style="hair"/>
    </border>
    <border>
      <left style="hair"/>
      <right style="hair"/>
      <top style="thin"/>
      <bottom style="hair"/>
    </border>
    <border>
      <left style="hair"/>
      <right>
        <color indexed="63"/>
      </right>
      <top>
        <color indexed="63"/>
      </top>
      <bottom style="thin"/>
    </border>
    <border>
      <left style="hair"/>
      <right>
        <color indexed="63"/>
      </right>
      <top style="hair"/>
      <bottom style="thin"/>
    </border>
    <border>
      <left style="hair"/>
      <right style="medium"/>
      <top style="thin"/>
      <bottom style="hair"/>
    </border>
    <border>
      <left style="hair"/>
      <right style="medium"/>
      <top style="hair"/>
      <bottom style="thin"/>
    </border>
    <border>
      <left style="hair"/>
      <right style="medium"/>
      <top>
        <color indexed="63"/>
      </top>
      <bottom style="thin"/>
    </border>
    <border>
      <left style="hair"/>
      <right style="medium"/>
      <top style="thin"/>
      <bottom style="thin"/>
    </border>
    <border>
      <left style="medium"/>
      <right style="hair"/>
      <top style="thin"/>
      <bottom style="hair"/>
    </border>
    <border>
      <left style="hair"/>
      <right>
        <color indexed="63"/>
      </right>
      <top style="thin"/>
      <bottom style="thin"/>
    </border>
    <border>
      <left style="medium"/>
      <right style="hair"/>
      <top style="thin"/>
      <bottom>
        <color indexed="63"/>
      </bottom>
    </border>
    <border>
      <left style="thin"/>
      <right style="hair"/>
      <top style="thin"/>
      <bottom style="thin"/>
    </border>
    <border>
      <left style="thin"/>
      <right style="medium"/>
      <top style="hair"/>
      <bottom style="hair"/>
    </border>
    <border>
      <left style="medium"/>
      <right>
        <color indexed="63"/>
      </right>
      <top style="medium"/>
      <bottom style="thin"/>
    </border>
    <border>
      <left>
        <color indexed="63"/>
      </left>
      <right style="hair"/>
      <top>
        <color indexed="63"/>
      </top>
      <bottom>
        <color indexed="63"/>
      </bottom>
    </border>
    <border>
      <left>
        <color indexed="63"/>
      </left>
      <right style="hair"/>
      <top style="hair"/>
      <bottom style="hair"/>
    </border>
    <border>
      <left style="medium"/>
      <right style="hair"/>
      <top style="hair"/>
      <bottom style="thin"/>
    </border>
    <border>
      <left style="hair"/>
      <right style="hair"/>
      <top style="hair"/>
      <bottom style="thin"/>
    </border>
    <border>
      <left>
        <color indexed="63"/>
      </left>
      <right style="thin"/>
      <top style="thin"/>
      <bottom style="medium"/>
    </border>
    <border>
      <left style="medium"/>
      <right>
        <color indexed="63"/>
      </right>
      <top style="hair"/>
      <bottom style="hair"/>
    </border>
    <border>
      <left style="medium"/>
      <right style="hair"/>
      <top style="medium"/>
      <bottom style="hair"/>
    </border>
    <border>
      <left style="hair"/>
      <right style="hair"/>
      <top style="medium"/>
      <bottom style="hair"/>
    </border>
    <border>
      <left style="hair"/>
      <right>
        <color indexed="63"/>
      </right>
      <top style="medium"/>
      <bottom style="hair"/>
    </border>
    <border>
      <left style="medium"/>
      <right style="medium"/>
      <top style="thin"/>
      <bottom style="thin"/>
    </border>
    <border>
      <left style="medium"/>
      <right style="medium"/>
      <top style="hair"/>
      <bottom style="hair"/>
    </border>
    <border>
      <left style="medium"/>
      <right style="medium"/>
      <top>
        <color indexed="63"/>
      </top>
      <bottom style="hair"/>
    </border>
    <border>
      <left>
        <color indexed="63"/>
      </left>
      <right style="hair"/>
      <top style="hair"/>
      <bottom>
        <color indexed="63"/>
      </bottom>
    </border>
    <border>
      <left style="medium"/>
      <right style="medium"/>
      <top style="hair"/>
      <bottom>
        <color indexed="63"/>
      </bottom>
    </border>
    <border>
      <left>
        <color indexed="63"/>
      </left>
      <right style="thin"/>
      <top style="medium"/>
      <bottom>
        <color indexed="63"/>
      </bottom>
    </border>
    <border>
      <left style="medium"/>
      <right style="medium"/>
      <top style="medium"/>
      <bottom style="thin"/>
    </border>
    <border>
      <left style="medium"/>
      <right style="medium"/>
      <top style="hair"/>
      <bottom style="medium"/>
    </border>
    <border>
      <left style="medium"/>
      <right style="medium"/>
      <top style="medium"/>
      <bottom style="hair"/>
    </border>
    <border>
      <left style="medium"/>
      <right style="medium"/>
      <top>
        <color indexed="63"/>
      </top>
      <bottom>
        <color indexed="63"/>
      </bottom>
    </border>
    <border>
      <left style="medium"/>
      <right style="medium"/>
      <top>
        <color indexed="63"/>
      </top>
      <bottom style="thin"/>
    </border>
    <border>
      <left style="medium"/>
      <right style="medium"/>
      <top style="medium"/>
      <bottom>
        <color indexed="63"/>
      </bottom>
    </border>
    <border>
      <left style="medium"/>
      <right style="medium"/>
      <top style="thin"/>
      <bottom style="medium"/>
    </border>
    <border>
      <left style="medium"/>
      <right style="medium"/>
      <top style="thin"/>
      <bottom>
        <color indexed="63"/>
      </bottom>
    </border>
    <border>
      <left style="medium"/>
      <right style="medium"/>
      <top style="thin"/>
      <bottom style="hair"/>
    </border>
    <border>
      <left>
        <color indexed="63"/>
      </left>
      <right style="medium"/>
      <top style="hair"/>
      <bottom style="hair"/>
    </border>
    <border>
      <left>
        <color indexed="63"/>
      </left>
      <right>
        <color indexed="63"/>
      </right>
      <top style="medium"/>
      <bottom style="double"/>
    </border>
    <border>
      <left>
        <color indexed="63"/>
      </left>
      <right>
        <color indexed="63"/>
      </right>
      <top style="double"/>
      <bottom>
        <color indexed="63"/>
      </bottom>
    </border>
    <border>
      <left style="medium"/>
      <right style="medium"/>
      <top style="double"/>
      <bottom style="medium"/>
    </border>
    <border>
      <left style="hair"/>
      <right>
        <color indexed="63"/>
      </right>
      <top style="hair"/>
      <bottom style="medium"/>
    </border>
    <border>
      <left style="hair"/>
      <right style="hair"/>
      <top>
        <color indexed="63"/>
      </top>
      <bottom style="thin"/>
    </border>
    <border>
      <left>
        <color indexed="63"/>
      </left>
      <right style="hair"/>
      <top>
        <color indexed="63"/>
      </top>
      <bottom style="hair"/>
    </border>
    <border>
      <left>
        <color indexed="63"/>
      </left>
      <right style="hair"/>
      <top style="thin"/>
      <bottom>
        <color indexed="63"/>
      </bottom>
    </border>
    <border>
      <left>
        <color indexed="63"/>
      </left>
      <right style="hair"/>
      <top>
        <color indexed="63"/>
      </top>
      <bottom style="thin"/>
    </border>
    <border>
      <left>
        <color indexed="63"/>
      </left>
      <right style="hair"/>
      <top style="thin"/>
      <bottom style="hair"/>
    </border>
    <border>
      <left>
        <color indexed="63"/>
      </left>
      <right style="hair"/>
      <top style="hair"/>
      <bottom style="thin"/>
    </border>
    <border>
      <left>
        <color indexed="63"/>
      </left>
      <right style="hair"/>
      <top style="thin"/>
      <bottom style="thin"/>
    </border>
    <border>
      <left style="medium"/>
      <right style="medium"/>
      <top style="hair"/>
      <bottom style="thin"/>
    </border>
    <border>
      <left style="medium"/>
      <right style="hair"/>
      <top style="medium"/>
      <bottom style="thin"/>
    </border>
    <border>
      <left>
        <color indexed="63"/>
      </left>
      <right style="hair"/>
      <top style="medium"/>
      <bottom style="hair"/>
    </border>
    <border>
      <left style="thin"/>
      <right style="hair"/>
      <top>
        <color indexed="63"/>
      </top>
      <bottom style="thin"/>
    </border>
    <border>
      <left style="thin"/>
      <right style="hair"/>
      <top style="thin"/>
      <bottom style="hair"/>
    </border>
    <border>
      <left style="double"/>
      <right>
        <color indexed="63"/>
      </right>
      <top style="thin"/>
      <bottom>
        <color indexed="63"/>
      </bottom>
    </border>
    <border>
      <left style="double"/>
      <right>
        <color indexed="63"/>
      </right>
      <top>
        <color indexed="63"/>
      </top>
      <bottom style="thin"/>
    </border>
    <border>
      <left style="double"/>
      <right>
        <color indexed="63"/>
      </right>
      <top>
        <color indexed="63"/>
      </top>
      <bottom>
        <color indexed="63"/>
      </bottom>
    </border>
    <border>
      <left style="thin"/>
      <right style="double"/>
      <top>
        <color indexed="63"/>
      </top>
      <bottom style="thin"/>
    </border>
    <border>
      <left style="thin"/>
      <right style="double"/>
      <top style="thin"/>
      <bottom>
        <color indexed="63"/>
      </bottom>
    </border>
    <border>
      <left style="double"/>
      <right/>
      <top/>
      <bottom style="double"/>
    </border>
    <border>
      <left style="double"/>
      <right style="thin"/>
      <top style="double"/>
      <bottom style="double"/>
    </border>
    <border>
      <left/>
      <right/>
      <top style="double"/>
      <bottom style="double"/>
    </border>
    <border>
      <left/>
      <right style="double"/>
      <top style="double"/>
      <bottom style="double"/>
    </border>
    <border>
      <left style="double"/>
      <right style="thin"/>
      <top/>
      <bottom/>
    </border>
    <border>
      <left style="double"/>
      <right style="thin"/>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right style="double"/>
      <top/>
      <bottom/>
    </border>
    <border>
      <left style="thin"/>
      <right style="double"/>
      <top style="double"/>
      <bottom/>
    </border>
    <border>
      <left style="thin"/>
      <right style="hair"/>
      <top>
        <color indexed="63"/>
      </top>
      <bottom style="hair"/>
    </border>
    <border>
      <left style="thin"/>
      <right style="double"/>
      <top/>
      <bottom style="double"/>
    </border>
    <border>
      <left style="hair"/>
      <right style="medium"/>
      <top style="medium"/>
      <bottom style="thin"/>
    </border>
    <border>
      <left>
        <color indexed="63"/>
      </left>
      <right>
        <color indexed="63"/>
      </right>
      <top style="thin"/>
      <bottom style="medium"/>
    </border>
    <border>
      <left>
        <color indexed="63"/>
      </left>
      <right style="medium"/>
      <top>
        <color indexed="63"/>
      </top>
      <bottom style="thin"/>
    </border>
    <border>
      <left style="double"/>
      <right/>
      <top style="double"/>
      <bottom style="thin"/>
    </border>
    <border>
      <left/>
      <right style="thin"/>
      <top style="double"/>
      <bottom style="thin"/>
    </border>
    <border>
      <left style="double"/>
      <right>
        <color indexed="63"/>
      </right>
      <top style="thin"/>
      <bottom style="thin"/>
    </border>
    <border>
      <left/>
      <right style="double"/>
      <top style="thin"/>
      <bottom style="thin"/>
    </border>
    <border>
      <left style="double"/>
      <right/>
      <top style="double"/>
      <bottom style="double"/>
    </border>
    <border>
      <left/>
      <right style="double"/>
      <top/>
      <bottom style="double"/>
    </border>
    <border>
      <left style="double"/>
      <right/>
      <top style="double"/>
      <bottom/>
    </border>
    <border>
      <left>
        <color indexed="63"/>
      </left>
      <right style="thin"/>
      <top>
        <color indexed="63"/>
      </top>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0"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3" fillId="19" borderId="1" applyNumberFormat="0" applyAlignment="0" applyProtection="0"/>
    <xf numFmtId="0" fontId="104" fillId="0" borderId="2" applyNumberFormat="0" applyFill="0" applyAlignment="0" applyProtection="0"/>
    <xf numFmtId="0" fontId="105" fillId="20" borderId="3"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2" fillId="26" borderId="0" applyNumberFormat="0" applyBorder="0" applyAlignment="0" applyProtection="0"/>
    <xf numFmtId="0" fontId="106"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7"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9" borderId="4" applyNumberFormat="0" applyFont="0" applyAlignment="0" applyProtection="0"/>
    <xf numFmtId="0" fontId="108" fillId="19" borderId="5" applyNumberFormat="0" applyAlignment="0" applyProtection="0"/>
    <xf numFmtId="9" fontId="0" fillId="0" borderId="0" applyFon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6" applyNumberFormat="0" applyFill="0" applyAlignment="0" applyProtection="0"/>
    <xf numFmtId="0" fontId="113" fillId="0" borderId="7" applyNumberFormat="0" applyFill="0" applyAlignment="0" applyProtection="0"/>
    <xf numFmtId="0" fontId="114" fillId="0" borderId="8" applyNumberFormat="0" applyFill="0" applyAlignment="0" applyProtection="0"/>
    <xf numFmtId="0" fontId="114" fillId="0" borderId="0" applyNumberFormat="0" applyFill="0" applyBorder="0" applyAlignment="0" applyProtection="0"/>
    <xf numFmtId="0" fontId="115" fillId="0" borderId="9" applyNumberFormat="0" applyFill="0" applyAlignment="0" applyProtection="0"/>
    <xf numFmtId="0" fontId="116" fillId="30" borderId="0" applyNumberFormat="0" applyBorder="0" applyAlignment="0" applyProtection="0"/>
    <xf numFmtId="0" fontId="117" fillId="31"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542">
    <xf numFmtId="0" fontId="0" fillId="0" borderId="0" xfId="0" applyAlignment="1">
      <alignment/>
    </xf>
    <xf numFmtId="43" fontId="20" fillId="0" borderId="10" xfId="45" applyFont="1" applyFill="1" applyBorder="1" applyAlignment="1">
      <alignment horizontal="center" vertical="center" wrapText="1"/>
    </xf>
    <xf numFmtId="43" fontId="20" fillId="0" borderId="11" xfId="45" applyFont="1" applyFill="1" applyBorder="1" applyAlignment="1">
      <alignment horizontal="center" vertical="center" wrapText="1"/>
    </xf>
    <xf numFmtId="43" fontId="20" fillId="0" borderId="0" xfId="45" applyFont="1" applyFill="1" applyBorder="1" applyAlignment="1">
      <alignment horizontal="center" vertical="center" wrapText="1"/>
    </xf>
    <xf numFmtId="0" fontId="0" fillId="0" borderId="0" xfId="0" applyFill="1" applyAlignment="1">
      <alignment vertical="center"/>
    </xf>
    <xf numFmtId="0" fontId="17" fillId="0" borderId="10" xfId="0" applyFont="1" applyFill="1" applyBorder="1" applyAlignment="1">
      <alignment horizontal="left"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0" xfId="0" applyFill="1" applyBorder="1" applyAlignment="1">
      <alignment horizontal="center" vertical="center"/>
    </xf>
    <xf numFmtId="43" fontId="0" fillId="0" borderId="14" xfId="45" applyFont="1" applyFill="1" applyBorder="1" applyAlignment="1">
      <alignment horizontal="center" vertical="center"/>
    </xf>
    <xf numFmtId="43" fontId="0" fillId="0" borderId="10" xfId="45" applyFont="1" applyFill="1" applyBorder="1" applyAlignment="1">
      <alignment horizontal="center" vertical="center"/>
    </xf>
    <xf numFmtId="43" fontId="0" fillId="0" borderId="11" xfId="45" applyFont="1" applyFill="1" applyBorder="1" applyAlignment="1">
      <alignment horizontal="center" vertical="center"/>
    </xf>
    <xf numFmtId="43" fontId="21" fillId="0" borderId="15" xfId="45" applyFont="1" applyFill="1" applyBorder="1" applyAlignment="1">
      <alignment vertical="center"/>
    </xf>
    <xf numFmtId="43" fontId="17" fillId="0" borderId="10" xfId="45" applyFont="1" applyFill="1" applyBorder="1" applyAlignment="1">
      <alignment horizontal="left" vertical="center"/>
    </xf>
    <xf numFmtId="43" fontId="17" fillId="0" borderId="10" xfId="45" applyFont="1" applyFill="1" applyBorder="1" applyAlignment="1">
      <alignment vertical="center"/>
    </xf>
    <xf numFmtId="43" fontId="0" fillId="0" borderId="11" xfId="45" applyFont="1" applyFill="1" applyBorder="1" applyAlignment="1">
      <alignment vertical="center"/>
    </xf>
    <xf numFmtId="43" fontId="0" fillId="0" borderId="10" xfId="45" applyFont="1" applyFill="1" applyBorder="1" applyAlignment="1">
      <alignment vertical="center"/>
    </xf>
    <xf numFmtId="43" fontId="0" fillId="0" borderId="10" xfId="45" applyFont="1" applyFill="1" applyBorder="1" applyAlignment="1">
      <alignment horizontal="right" vertical="center"/>
    </xf>
    <xf numFmtId="0" fontId="0" fillId="0" borderId="0" xfId="0" applyFill="1" applyBorder="1" applyAlignment="1">
      <alignment vertical="center"/>
    </xf>
    <xf numFmtId="0" fontId="17" fillId="0" borderId="16" xfId="0" applyFont="1" applyFill="1" applyBorder="1" applyAlignment="1">
      <alignment horizontal="center"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0" fillId="0" borderId="19" xfId="0" applyFill="1" applyBorder="1" applyAlignment="1">
      <alignment horizontal="center" vertical="center"/>
    </xf>
    <xf numFmtId="0" fontId="17" fillId="0" borderId="20" xfId="0" applyFont="1" applyFill="1" applyBorder="1" applyAlignment="1">
      <alignment horizontal="left" vertical="center"/>
    </xf>
    <xf numFmtId="0" fontId="17" fillId="0" borderId="19" xfId="0" applyFont="1" applyFill="1" applyBorder="1" applyAlignment="1">
      <alignment horizontal="left" vertical="center"/>
    </xf>
    <xf numFmtId="0" fontId="17" fillId="0" borderId="20" xfId="0" applyFont="1" applyFill="1" applyBorder="1" applyAlignment="1">
      <alignment vertical="center"/>
    </xf>
    <xf numFmtId="43" fontId="0" fillId="0" borderId="21" xfId="45" applyFont="1" applyFill="1" applyBorder="1" applyAlignment="1">
      <alignment horizontal="center" vertical="center"/>
    </xf>
    <xf numFmtId="0" fontId="0" fillId="0" borderId="20" xfId="0" applyFill="1" applyBorder="1" applyAlignment="1">
      <alignment vertical="center" wrapText="1"/>
    </xf>
    <xf numFmtId="0" fontId="0" fillId="0" borderId="19" xfId="0" applyFill="1" applyBorder="1" applyAlignment="1">
      <alignment vertical="center"/>
    </xf>
    <xf numFmtId="43" fontId="0" fillId="0" borderId="21" xfId="45" applyFont="1" applyFill="1" applyBorder="1" applyAlignment="1">
      <alignment vertical="center"/>
    </xf>
    <xf numFmtId="0" fontId="0" fillId="0" borderId="20" xfId="0" applyFill="1" applyBorder="1" applyAlignment="1">
      <alignment vertical="center"/>
    </xf>
    <xf numFmtId="0" fontId="17" fillId="0" borderId="22" xfId="0" applyFont="1" applyFill="1" applyBorder="1" applyAlignment="1">
      <alignment horizontal="center" vertical="center"/>
    </xf>
    <xf numFmtId="0" fontId="0" fillId="0" borderId="19" xfId="0" applyFill="1" applyBorder="1" applyAlignment="1">
      <alignment horizontal="right" vertical="center"/>
    </xf>
    <xf numFmtId="0" fontId="0" fillId="0" borderId="23" xfId="0" applyFill="1" applyBorder="1" applyAlignment="1">
      <alignment vertical="center"/>
    </xf>
    <xf numFmtId="0" fontId="0" fillId="0" borderId="24" xfId="0" applyFill="1" applyBorder="1" applyAlignment="1">
      <alignment horizontal="center" vertical="center"/>
    </xf>
    <xf numFmtId="0" fontId="22" fillId="0" borderId="20" xfId="0" applyFont="1" applyFill="1" applyBorder="1" applyAlignment="1">
      <alignment vertical="center"/>
    </xf>
    <xf numFmtId="0" fontId="17" fillId="0" borderId="19" xfId="0" applyFont="1" applyFill="1" applyBorder="1" applyAlignment="1">
      <alignment vertical="center"/>
    </xf>
    <xf numFmtId="0" fontId="23" fillId="0" borderId="19" xfId="0" applyFont="1" applyFill="1" applyBorder="1" applyAlignment="1">
      <alignment horizontal="left" vertical="center"/>
    </xf>
    <xf numFmtId="0" fontId="23" fillId="0" borderId="25" xfId="0" applyFont="1" applyFill="1" applyBorder="1" applyAlignment="1">
      <alignment horizontal="left" vertical="center"/>
    </xf>
    <xf numFmtId="43" fontId="23" fillId="0" borderId="26" xfId="45" applyFont="1" applyFill="1" applyBorder="1" applyAlignment="1">
      <alignment horizontal="center" vertical="center" wrapText="1"/>
    </xf>
    <xf numFmtId="0" fontId="0" fillId="0" borderId="0" xfId="0" applyAlignment="1">
      <alignment vertical="center"/>
    </xf>
    <xf numFmtId="0" fontId="0" fillId="0" borderId="0" xfId="0" applyFill="1" applyAlignment="1">
      <alignment horizontal="left" vertical="center"/>
    </xf>
    <xf numFmtId="0" fontId="0" fillId="0" borderId="0" xfId="0" applyAlignment="1">
      <alignment horizontal="center" vertical="center"/>
    </xf>
    <xf numFmtId="0" fontId="0" fillId="0" borderId="12" xfId="0" applyFill="1" applyBorder="1" applyAlignment="1">
      <alignment vertical="center"/>
    </xf>
    <xf numFmtId="0" fontId="0" fillId="0" borderId="14" xfId="0" applyFill="1" applyBorder="1" applyAlignment="1">
      <alignment horizontal="center" vertical="center"/>
    </xf>
    <xf numFmtId="0" fontId="0" fillId="0" borderId="27" xfId="0" applyFill="1" applyBorder="1" applyAlignment="1">
      <alignment vertical="center"/>
    </xf>
    <xf numFmtId="0" fontId="0" fillId="0" borderId="11" xfId="0" applyFill="1" applyBorder="1" applyAlignment="1">
      <alignment horizontal="center" vertical="center"/>
    </xf>
    <xf numFmtId="0" fontId="0" fillId="0" borderId="0" xfId="0" applyBorder="1" applyAlignment="1">
      <alignment vertical="center"/>
    </xf>
    <xf numFmtId="2" fontId="0" fillId="0" borderId="12" xfId="0" applyNumberFormat="1" applyFill="1" applyBorder="1" applyAlignment="1">
      <alignment horizontal="center" vertical="center"/>
    </xf>
    <xf numFmtId="0" fontId="0" fillId="0" borderId="28"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29" xfId="0" applyFill="1" applyBorder="1" applyAlignment="1">
      <alignment horizontal="center" vertical="center"/>
    </xf>
    <xf numFmtId="43" fontId="20" fillId="0" borderId="14" xfId="45" applyFont="1" applyFill="1" applyBorder="1" applyAlignment="1">
      <alignment horizontal="center" vertical="center" wrapText="1"/>
    </xf>
    <xf numFmtId="0" fontId="0" fillId="0" borderId="30" xfId="0" applyFill="1" applyBorder="1" applyAlignment="1">
      <alignment vertical="center"/>
    </xf>
    <xf numFmtId="0" fontId="0" fillId="0" borderId="31" xfId="0" applyFill="1" applyBorder="1" applyAlignment="1">
      <alignment horizontal="center" vertical="center"/>
    </xf>
    <xf numFmtId="0" fontId="0" fillId="0" borderId="32" xfId="0" applyFill="1" applyBorder="1" applyAlignment="1">
      <alignment vertical="center"/>
    </xf>
    <xf numFmtId="0" fontId="24" fillId="0" borderId="31" xfId="0" applyFont="1" applyFill="1" applyBorder="1" applyAlignment="1">
      <alignment horizontal="center" vertical="center"/>
    </xf>
    <xf numFmtId="0" fontId="24" fillId="0" borderId="32" xfId="0" applyFont="1" applyFill="1" applyBorder="1" applyAlignment="1">
      <alignment vertical="center"/>
    </xf>
    <xf numFmtId="0" fontId="17" fillId="0" borderId="33" xfId="0" applyFont="1" applyFill="1" applyBorder="1" applyAlignment="1">
      <alignment horizontal="center" vertical="center"/>
    </xf>
    <xf numFmtId="0" fontId="17" fillId="0" borderId="34" xfId="0" applyFont="1" applyFill="1" applyBorder="1" applyAlignment="1">
      <alignment vertical="center"/>
    </xf>
    <xf numFmtId="43" fontId="0" fillId="0" borderId="35" xfId="45" applyFont="1" applyFill="1" applyBorder="1" applyAlignment="1">
      <alignment horizontal="center" vertical="center"/>
    </xf>
    <xf numFmtId="43" fontId="24" fillId="0" borderId="31" xfId="45" applyFont="1" applyFill="1" applyBorder="1" applyAlignment="1">
      <alignment horizontal="center" vertical="center"/>
    </xf>
    <xf numFmtId="43" fontId="17" fillId="0" borderId="33" xfId="45" applyFont="1" applyFill="1" applyBorder="1" applyAlignment="1">
      <alignment horizontal="center" vertical="center"/>
    </xf>
    <xf numFmtId="43" fontId="0" fillId="0" borderId="30" xfId="45" applyFont="1" applyFill="1" applyBorder="1" applyAlignment="1">
      <alignment vertical="center"/>
    </xf>
    <xf numFmtId="43" fontId="24" fillId="0" borderId="32" xfId="45" applyFont="1" applyFill="1" applyBorder="1" applyAlignment="1">
      <alignment vertical="center"/>
    </xf>
    <xf numFmtId="43" fontId="0" fillId="0" borderId="31" xfId="45" applyFont="1" applyFill="1" applyBorder="1" applyAlignment="1">
      <alignment horizontal="center" vertical="center"/>
    </xf>
    <xf numFmtId="43" fontId="0" fillId="0" borderId="0" xfId="45" applyFont="1" applyFill="1" applyBorder="1" applyAlignment="1">
      <alignment vertical="center"/>
    </xf>
    <xf numFmtId="43" fontId="0" fillId="0" borderId="36" xfId="45" applyFont="1" applyFill="1" applyBorder="1" applyAlignment="1">
      <alignment vertical="center"/>
    </xf>
    <xf numFmtId="43" fontId="17" fillId="0" borderId="28" xfId="45" applyFont="1" applyFill="1" applyBorder="1" applyAlignment="1">
      <alignment horizontal="center" vertical="center"/>
    </xf>
    <xf numFmtId="0" fontId="17" fillId="0" borderId="37" xfId="0" applyFont="1" applyBorder="1" applyAlignment="1">
      <alignment horizontal="center" vertical="center" wrapText="1"/>
    </xf>
    <xf numFmtId="0" fontId="16" fillId="0" borderId="38" xfId="0" applyFont="1" applyFill="1" applyBorder="1" applyAlignment="1">
      <alignment horizontal="left" vertical="center"/>
    </xf>
    <xf numFmtId="0" fontId="0" fillId="0" borderId="39" xfId="0" applyFill="1" applyBorder="1" applyAlignment="1">
      <alignment vertical="center"/>
    </xf>
    <xf numFmtId="0" fontId="0" fillId="0" borderId="38" xfId="0" applyFill="1" applyBorder="1" applyAlignment="1">
      <alignment vertical="center"/>
    </xf>
    <xf numFmtId="0" fontId="0" fillId="0" borderId="38" xfId="0" applyFill="1" applyBorder="1" applyAlignment="1">
      <alignment vertical="center" wrapText="1"/>
    </xf>
    <xf numFmtId="0" fontId="24" fillId="0" borderId="40" xfId="0" applyFont="1" applyFill="1" applyBorder="1" applyAlignment="1">
      <alignment vertical="center"/>
    </xf>
    <xf numFmtId="0" fontId="24" fillId="0" borderId="23" xfId="0" applyFont="1" applyFill="1" applyBorder="1" applyAlignment="1">
      <alignment vertical="center"/>
    </xf>
    <xf numFmtId="0" fontId="24" fillId="0" borderId="38" xfId="0" applyFont="1" applyFill="1" applyBorder="1" applyAlignment="1">
      <alignment vertical="center"/>
    </xf>
    <xf numFmtId="0" fontId="17" fillId="0" borderId="41" xfId="0" applyFont="1" applyFill="1" applyBorder="1" applyAlignment="1">
      <alignment horizontal="center" vertical="center"/>
    </xf>
    <xf numFmtId="43" fontId="17" fillId="0" borderId="42" xfId="45" applyFont="1" applyFill="1" applyBorder="1" applyAlignment="1">
      <alignment horizontal="center" vertical="center"/>
    </xf>
    <xf numFmtId="0" fontId="17" fillId="0" borderId="43" xfId="0" applyFont="1" applyFill="1" applyBorder="1" applyAlignment="1">
      <alignment horizontal="right" vertical="center"/>
    </xf>
    <xf numFmtId="0" fontId="17" fillId="0" borderId="41" xfId="0" applyFont="1" applyFill="1" applyBorder="1" applyAlignment="1">
      <alignment horizontal="right" vertical="center"/>
    </xf>
    <xf numFmtId="0" fontId="0" fillId="0" borderId="33" xfId="0" applyFill="1" applyBorder="1" applyAlignment="1">
      <alignment horizontal="center" vertical="center"/>
    </xf>
    <xf numFmtId="43" fontId="0" fillId="0" borderId="34" xfId="45" applyFont="1" applyFill="1" applyBorder="1" applyAlignment="1">
      <alignment vertical="center"/>
    </xf>
    <xf numFmtId="43" fontId="26" fillId="0" borderId="0" xfId="0" applyNumberFormat="1" applyFont="1" applyFill="1" applyBorder="1" applyAlignment="1">
      <alignment vertical="center"/>
    </xf>
    <xf numFmtId="0" fontId="27" fillId="0" borderId="0" xfId="0" applyFont="1" applyFill="1" applyAlignment="1">
      <alignment vertical="center"/>
    </xf>
    <xf numFmtId="43" fontId="27" fillId="0" borderId="31" xfId="0" applyNumberFormat="1" applyFont="1" applyFill="1" applyBorder="1" applyAlignment="1">
      <alignment vertical="center"/>
    </xf>
    <xf numFmtId="0" fontId="30" fillId="0" borderId="0" xfId="0" applyFont="1" applyAlignment="1">
      <alignment vertical="center"/>
    </xf>
    <xf numFmtId="43" fontId="30" fillId="0" borderId="0" xfId="45" applyFont="1" applyAlignment="1">
      <alignment vertical="center"/>
    </xf>
    <xf numFmtId="0" fontId="5" fillId="0" borderId="0" xfId="0" applyFont="1" applyAlignment="1">
      <alignment vertical="center"/>
    </xf>
    <xf numFmtId="0" fontId="30" fillId="0" borderId="31" xfId="0" applyFont="1" applyBorder="1" applyAlignment="1">
      <alignment vertical="center"/>
    </xf>
    <xf numFmtId="43" fontId="30" fillId="0" borderId="31" xfId="45" applyFont="1" applyBorder="1" applyAlignment="1">
      <alignment vertical="center"/>
    </xf>
    <xf numFmtId="0" fontId="5" fillId="4" borderId="44" xfId="0" applyFont="1" applyFill="1" applyBorder="1" applyAlignment="1">
      <alignment vertical="center"/>
    </xf>
    <xf numFmtId="43" fontId="5" fillId="4" borderId="45" xfId="45" applyFont="1" applyFill="1" applyBorder="1" applyAlignment="1">
      <alignment vertical="center"/>
    </xf>
    <xf numFmtId="0" fontId="5" fillId="32" borderId="44" xfId="0" applyFont="1" applyFill="1" applyBorder="1" applyAlignment="1">
      <alignment vertical="center"/>
    </xf>
    <xf numFmtId="43" fontId="5" fillId="32" borderId="45" xfId="45" applyFont="1" applyFill="1" applyBorder="1" applyAlignment="1">
      <alignment vertical="center"/>
    </xf>
    <xf numFmtId="43" fontId="16" fillId="0" borderId="31" xfId="45" applyFont="1" applyFill="1" applyBorder="1" applyAlignment="1">
      <alignment horizontal="center" vertical="center"/>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43" fontId="20" fillId="0" borderId="46" xfId="45" applyFont="1" applyFill="1" applyBorder="1" applyAlignment="1">
      <alignment horizontal="center" vertical="center" wrapText="1"/>
    </xf>
    <xf numFmtId="43" fontId="20" fillId="0" borderId="15" xfId="45" applyFont="1" applyFill="1" applyBorder="1" applyAlignment="1">
      <alignment horizontal="center" vertical="center" wrapText="1"/>
    </xf>
    <xf numFmtId="43" fontId="22" fillId="0" borderId="33" xfId="45" applyFont="1" applyFill="1" applyBorder="1" applyAlignment="1">
      <alignment horizontal="center" vertical="center" wrapText="1"/>
    </xf>
    <xf numFmtId="43" fontId="22" fillId="0" borderId="42" xfId="45" applyFont="1" applyFill="1" applyBorder="1" applyAlignment="1">
      <alignment horizontal="center" vertical="center" wrapText="1"/>
    </xf>
    <xf numFmtId="43" fontId="22" fillId="0" borderId="47" xfId="45" applyFont="1" applyFill="1" applyBorder="1" applyAlignment="1">
      <alignment horizontal="center" vertical="center" wrapText="1"/>
    </xf>
    <xf numFmtId="43" fontId="0" fillId="0" borderId="14" xfId="0" applyNumberFormat="1" applyFill="1" applyBorder="1" applyAlignment="1">
      <alignment vertical="center"/>
    </xf>
    <xf numFmtId="43" fontId="6" fillId="0" borderId="14" xfId="45" applyFont="1" applyFill="1" applyBorder="1" applyAlignment="1">
      <alignment horizontal="center" vertical="center"/>
    </xf>
    <xf numFmtId="43" fontId="6" fillId="0" borderId="46" xfId="45" applyFont="1" applyFill="1" applyBorder="1" applyAlignment="1">
      <alignment horizontal="center" vertical="center"/>
    </xf>
    <xf numFmtId="43" fontId="21" fillId="0" borderId="11" xfId="45" applyFont="1" applyFill="1" applyBorder="1" applyAlignment="1">
      <alignment horizontal="center" vertical="center" wrapText="1"/>
    </xf>
    <xf numFmtId="43" fontId="21" fillId="0" borderId="10" xfId="45" applyFont="1" applyFill="1" applyBorder="1" applyAlignment="1">
      <alignment horizontal="center" vertical="center" wrapText="1"/>
    </xf>
    <xf numFmtId="43" fontId="26" fillId="0" borderId="31" xfId="0" applyNumberFormat="1" applyFont="1" applyFill="1" applyBorder="1" applyAlignment="1">
      <alignment vertical="center"/>
    </xf>
    <xf numFmtId="0" fontId="27" fillId="0" borderId="48" xfId="0" applyFont="1" applyFill="1" applyBorder="1" applyAlignment="1">
      <alignment vertical="center"/>
    </xf>
    <xf numFmtId="0" fontId="27" fillId="0" borderId="29" xfId="0" applyFont="1" applyFill="1" applyBorder="1" applyAlignment="1">
      <alignment vertical="center"/>
    </xf>
    <xf numFmtId="0" fontId="0" fillId="0" borderId="27" xfId="0" applyFill="1" applyBorder="1" applyAlignment="1">
      <alignment horizontal="center" vertical="center"/>
    </xf>
    <xf numFmtId="43" fontId="6" fillId="0" borderId="49" xfId="45" applyFont="1" applyFill="1" applyBorder="1" applyAlignment="1">
      <alignment horizontal="center" vertical="center"/>
    </xf>
    <xf numFmtId="43" fontId="0" fillId="0" borderId="0" xfId="45" applyFont="1" applyFill="1" applyBorder="1" applyAlignment="1">
      <alignment horizontal="center" vertical="center"/>
    </xf>
    <xf numFmtId="43" fontId="20" fillId="0" borderId="49" xfId="45" applyFont="1" applyFill="1" applyBorder="1" applyAlignment="1">
      <alignment horizontal="center" vertical="center" wrapText="1"/>
    </xf>
    <xf numFmtId="43" fontId="0" fillId="0" borderId="35" xfId="45" applyFont="1" applyFill="1" applyBorder="1" applyAlignment="1">
      <alignment vertical="center"/>
    </xf>
    <xf numFmtId="43" fontId="22" fillId="0" borderId="50" xfId="45" applyFont="1" applyFill="1" applyBorder="1" applyAlignment="1">
      <alignment horizontal="center" vertical="center" wrapText="1"/>
    </xf>
    <xf numFmtId="0" fontId="17" fillId="0" borderId="51" xfId="0" applyFont="1" applyFill="1" applyBorder="1" applyAlignment="1">
      <alignment horizontal="center" vertical="center" wrapText="1"/>
    </xf>
    <xf numFmtId="0" fontId="0" fillId="0" borderId="52" xfId="0" applyFill="1" applyBorder="1" applyAlignment="1">
      <alignment horizontal="center" vertical="center"/>
    </xf>
    <xf numFmtId="0" fontId="0" fillId="0" borderId="53" xfId="0" applyFill="1" applyBorder="1" applyAlignment="1">
      <alignment horizontal="center" vertical="center"/>
    </xf>
    <xf numFmtId="43" fontId="0" fillId="0" borderId="54" xfId="45" applyFont="1" applyFill="1" applyBorder="1" applyAlignment="1">
      <alignment vertical="center"/>
    </xf>
    <xf numFmtId="43" fontId="22" fillId="0" borderId="55" xfId="45" applyFont="1" applyFill="1" applyBorder="1" applyAlignment="1">
      <alignment horizontal="center" vertical="center" wrapText="1"/>
    </xf>
    <xf numFmtId="0" fontId="17" fillId="0" borderId="56" xfId="0" applyFont="1" applyFill="1" applyBorder="1" applyAlignment="1">
      <alignment horizontal="left" vertical="center"/>
    </xf>
    <xf numFmtId="43" fontId="20" fillId="0" borderId="35" xfId="45" applyFont="1" applyFill="1" applyBorder="1" applyAlignment="1">
      <alignment horizontal="center" vertical="center" wrapText="1"/>
    </xf>
    <xf numFmtId="0" fontId="0" fillId="0" borderId="21" xfId="0" applyFill="1" applyBorder="1" applyAlignment="1">
      <alignment vertical="center"/>
    </xf>
    <xf numFmtId="43" fontId="22" fillId="0" borderId="57" xfId="45" applyFont="1" applyFill="1" applyBorder="1" applyAlignment="1">
      <alignment horizontal="center" vertical="center" wrapText="1"/>
    </xf>
    <xf numFmtId="43" fontId="22" fillId="0" borderId="58" xfId="45" applyFont="1" applyFill="1" applyBorder="1" applyAlignment="1">
      <alignment horizontal="center" vertical="center" wrapText="1"/>
    </xf>
    <xf numFmtId="0" fontId="17" fillId="0" borderId="51" xfId="0" applyFont="1" applyBorder="1" applyAlignment="1">
      <alignment horizontal="center" vertical="center" wrapText="1"/>
    </xf>
    <xf numFmtId="43" fontId="0" fillId="0" borderId="49" xfId="0" applyNumberFormat="1" applyFill="1" applyBorder="1" applyAlignment="1">
      <alignment vertical="center"/>
    </xf>
    <xf numFmtId="0" fontId="0" fillId="0" borderId="53" xfId="0" applyFill="1" applyBorder="1" applyAlignment="1">
      <alignment vertical="center"/>
    </xf>
    <xf numFmtId="43" fontId="0" fillId="0" borderId="49" xfId="45" applyFont="1" applyFill="1" applyBorder="1" applyAlignment="1">
      <alignment horizontal="center" vertical="center"/>
    </xf>
    <xf numFmtId="43" fontId="24" fillId="0" borderId="48" xfId="45" applyFont="1" applyFill="1" applyBorder="1" applyAlignment="1">
      <alignment horizontal="center" vertical="center"/>
    </xf>
    <xf numFmtId="43" fontId="16" fillId="0" borderId="48" xfId="45" applyFont="1" applyFill="1" applyBorder="1" applyAlignment="1">
      <alignment horizontal="center" vertical="center"/>
    </xf>
    <xf numFmtId="43" fontId="17" fillId="0" borderId="50" xfId="45" applyFont="1" applyFill="1" applyBorder="1" applyAlignment="1">
      <alignment horizontal="center" vertical="center"/>
    </xf>
    <xf numFmtId="0" fontId="0" fillId="0" borderId="12" xfId="0" applyBorder="1" applyAlignment="1">
      <alignment vertical="center"/>
    </xf>
    <xf numFmtId="0" fontId="0" fillId="0" borderId="11" xfId="0" applyBorder="1" applyAlignment="1">
      <alignment vertical="center"/>
    </xf>
    <xf numFmtId="0" fontId="0" fillId="0" borderId="11" xfId="0" applyFill="1" applyBorder="1" applyAlignment="1">
      <alignment vertical="center"/>
    </xf>
    <xf numFmtId="0" fontId="0" fillId="0" borderId="31" xfId="0" applyBorder="1" applyAlignment="1">
      <alignment vertical="center"/>
    </xf>
    <xf numFmtId="0" fontId="0" fillId="0" borderId="21" xfId="0" applyBorder="1" applyAlignment="1">
      <alignment vertical="center"/>
    </xf>
    <xf numFmtId="0" fontId="0" fillId="0" borderId="52" xfId="0" applyBorder="1" applyAlignment="1">
      <alignment vertical="center"/>
    </xf>
    <xf numFmtId="2" fontId="0" fillId="0" borderId="0" xfId="0" applyNumberFormat="1" applyFill="1" applyBorder="1" applyAlignment="1">
      <alignment horizontal="center" vertical="center"/>
    </xf>
    <xf numFmtId="2" fontId="0" fillId="0" borderId="53" xfId="0" applyNumberFormat="1" applyFill="1" applyBorder="1" applyAlignment="1">
      <alignment horizontal="center" vertical="center"/>
    </xf>
    <xf numFmtId="43" fontId="0" fillId="0" borderId="48" xfId="45" applyFont="1" applyFill="1" applyBorder="1" applyAlignment="1">
      <alignment horizontal="center" vertical="center"/>
    </xf>
    <xf numFmtId="43" fontId="17" fillId="0" borderId="59" xfId="45" applyFont="1" applyFill="1" applyBorder="1" applyAlignment="1">
      <alignment horizontal="center" vertical="center"/>
    </xf>
    <xf numFmtId="43" fontId="30" fillId="0" borderId="0" xfId="45" applyFont="1" applyFill="1" applyAlignment="1">
      <alignment vertical="center"/>
    </xf>
    <xf numFmtId="0" fontId="30" fillId="0" borderId="0" xfId="0" applyFont="1" applyFill="1" applyAlignment="1">
      <alignment vertical="center"/>
    </xf>
    <xf numFmtId="43" fontId="30" fillId="0" borderId="31" xfId="45" applyFont="1" applyFill="1" applyBorder="1" applyAlignment="1">
      <alignment vertical="center"/>
    </xf>
    <xf numFmtId="0" fontId="31" fillId="0" borderId="0" xfId="0" applyFont="1" applyFill="1" applyAlignment="1">
      <alignment vertical="center"/>
    </xf>
    <xf numFmtId="43" fontId="31" fillId="0" borderId="31" xfId="0" applyNumberFormat="1" applyFont="1" applyFill="1" applyBorder="1" applyAlignment="1">
      <alignment vertical="center"/>
    </xf>
    <xf numFmtId="0" fontId="0" fillId="0" borderId="31" xfId="0" applyFill="1" applyBorder="1" applyAlignment="1">
      <alignment vertical="center"/>
    </xf>
    <xf numFmtId="0" fontId="6" fillId="0" borderId="21" xfId="0" applyFont="1" applyFill="1" applyBorder="1" applyAlignment="1">
      <alignment vertical="center"/>
    </xf>
    <xf numFmtId="0" fontId="6" fillId="0" borderId="46" xfId="0" applyFont="1" applyFill="1" applyBorder="1" applyAlignment="1">
      <alignment vertical="center"/>
    </xf>
    <xf numFmtId="43" fontId="6" fillId="0" borderId="46" xfId="0" applyNumberFormat="1" applyFont="1" applyFill="1" applyBorder="1" applyAlignment="1">
      <alignment vertical="center"/>
    </xf>
    <xf numFmtId="43" fontId="0" fillId="0" borderId="60" xfId="0" applyNumberFormat="1" applyBorder="1" applyAlignment="1">
      <alignment vertical="center"/>
    </xf>
    <xf numFmtId="43" fontId="0" fillId="0" borderId="46" xfId="0" applyNumberFormat="1" applyBorder="1" applyAlignment="1">
      <alignment vertical="center"/>
    </xf>
    <xf numFmtId="43" fontId="0" fillId="0" borderId="46" xfId="45" applyFont="1" applyBorder="1" applyAlignment="1">
      <alignment vertical="center"/>
    </xf>
    <xf numFmtId="43" fontId="0" fillId="0" borderId="60" xfId="45" applyFont="1" applyBorder="1" applyAlignment="1">
      <alignment vertical="center"/>
    </xf>
    <xf numFmtId="43" fontId="20" fillId="0" borderId="30" xfId="45" applyFont="1" applyFill="1" applyBorder="1" applyAlignment="1">
      <alignment horizontal="center" vertical="center" wrapText="1"/>
    </xf>
    <xf numFmtId="43" fontId="27" fillId="0" borderId="0" xfId="0" applyNumberFormat="1" applyFont="1" applyFill="1" applyBorder="1" applyAlignment="1">
      <alignment vertical="center"/>
    </xf>
    <xf numFmtId="43" fontId="31" fillId="0" borderId="0" xfId="0" applyNumberFormat="1" applyFont="1" applyFill="1" applyBorder="1" applyAlignment="1">
      <alignment vertical="center"/>
    </xf>
    <xf numFmtId="43" fontId="0" fillId="0" borderId="12" xfId="45" applyFont="1" applyFill="1" applyBorder="1" applyAlignment="1">
      <alignment horizontal="center" vertical="center"/>
    </xf>
    <xf numFmtId="0" fontId="27" fillId="0" borderId="0" xfId="0" applyFont="1" applyFill="1" applyBorder="1" applyAlignment="1">
      <alignment vertical="center"/>
    </xf>
    <xf numFmtId="0" fontId="30" fillId="0" borderId="20" xfId="0" applyFont="1" applyFill="1" applyBorder="1" applyAlignment="1">
      <alignment vertical="center" wrapText="1"/>
    </xf>
    <xf numFmtId="0" fontId="30" fillId="0" borderId="20" xfId="0" applyFont="1" applyFill="1" applyBorder="1" applyAlignment="1">
      <alignment vertical="center"/>
    </xf>
    <xf numFmtId="43" fontId="33" fillId="0" borderId="31" xfId="45" applyFont="1" applyFill="1" applyBorder="1" applyAlignment="1">
      <alignment horizontal="center" vertical="center"/>
    </xf>
    <xf numFmtId="43" fontId="30" fillId="0" borderId="14" xfId="45" applyFont="1" applyFill="1" applyBorder="1" applyAlignment="1">
      <alignment horizontal="center" vertical="center"/>
    </xf>
    <xf numFmtId="0" fontId="32" fillId="0" borderId="61" xfId="0" applyFont="1" applyFill="1" applyBorder="1" applyAlignment="1">
      <alignment horizontal="center" vertical="center" wrapText="1"/>
    </xf>
    <xf numFmtId="0" fontId="32" fillId="0" borderId="54" xfId="0" applyFont="1" applyFill="1" applyBorder="1" applyAlignment="1">
      <alignment horizontal="center" vertical="center" wrapText="1"/>
    </xf>
    <xf numFmtId="0" fontId="32" fillId="0" borderId="62" xfId="0" applyFont="1" applyFill="1" applyBorder="1" applyAlignment="1">
      <alignment horizontal="center" vertical="center" wrapText="1"/>
    </xf>
    <xf numFmtId="0" fontId="32" fillId="0" borderId="63" xfId="0" applyFont="1" applyFill="1" applyBorder="1" applyAlignment="1">
      <alignment horizontal="center" vertical="center" wrapText="1"/>
    </xf>
    <xf numFmtId="0" fontId="7" fillId="0" borderId="0" xfId="0" applyFont="1" applyFill="1" applyAlignment="1">
      <alignment vertical="center"/>
    </xf>
    <xf numFmtId="0" fontId="7" fillId="0" borderId="64" xfId="0" applyFont="1" applyFill="1" applyBorder="1" applyAlignment="1">
      <alignment horizontal="center" vertical="center"/>
    </xf>
    <xf numFmtId="43" fontId="7" fillId="0" borderId="58" xfId="45" applyFont="1" applyFill="1" applyBorder="1" applyAlignment="1">
      <alignment vertical="center"/>
    </xf>
    <xf numFmtId="43" fontId="7" fillId="0" borderId="65" xfId="45" applyFont="1" applyFill="1" applyBorder="1" applyAlignment="1">
      <alignment vertical="center"/>
    </xf>
    <xf numFmtId="43" fontId="33" fillId="0" borderId="60" xfId="45" applyFont="1" applyFill="1" applyBorder="1" applyAlignment="1">
      <alignment horizontal="center" vertical="center"/>
    </xf>
    <xf numFmtId="0" fontId="30" fillId="0" borderId="38" xfId="0" applyFont="1" applyFill="1" applyBorder="1" applyAlignment="1">
      <alignment vertical="center"/>
    </xf>
    <xf numFmtId="0" fontId="37" fillId="0" borderId="0" xfId="0" applyFont="1" applyFill="1" applyAlignment="1">
      <alignment vertical="center"/>
    </xf>
    <xf numFmtId="0" fontId="38" fillId="0" borderId="66" xfId="0" applyFont="1" applyFill="1" applyBorder="1" applyAlignment="1">
      <alignment horizontal="center" vertical="center"/>
    </xf>
    <xf numFmtId="43" fontId="38" fillId="0" borderId="58" xfId="45" applyFont="1" applyFill="1" applyBorder="1" applyAlignment="1">
      <alignment horizontal="center" vertical="center"/>
    </xf>
    <xf numFmtId="43" fontId="38" fillId="0" borderId="65" xfId="45" applyFont="1" applyFill="1" applyBorder="1" applyAlignment="1">
      <alignment horizontal="center" vertical="center"/>
    </xf>
    <xf numFmtId="0" fontId="7" fillId="0" borderId="67" xfId="0" applyFont="1" applyFill="1" applyBorder="1" applyAlignment="1">
      <alignment horizontal="center" vertical="center"/>
    </xf>
    <xf numFmtId="43" fontId="7" fillId="0" borderId="31" xfId="45" applyFont="1" applyFill="1" applyBorder="1" applyAlignment="1">
      <alignment horizontal="center" vertical="center"/>
    </xf>
    <xf numFmtId="43" fontId="7" fillId="0" borderId="60" xfId="45" applyFont="1" applyFill="1" applyBorder="1" applyAlignment="1">
      <alignment horizontal="center" vertical="center"/>
    </xf>
    <xf numFmtId="0" fontId="7" fillId="0" borderId="0" xfId="0" applyFont="1" applyFill="1" applyBorder="1" applyAlignment="1">
      <alignment vertical="center"/>
    </xf>
    <xf numFmtId="0" fontId="30" fillId="0" borderId="67" xfId="0" applyFont="1" applyFill="1" applyBorder="1" applyAlignment="1">
      <alignment horizontal="left" vertical="center"/>
    </xf>
    <xf numFmtId="43" fontId="30" fillId="4" borderId="31" xfId="0" applyNumberFormat="1" applyFont="1" applyFill="1" applyBorder="1" applyAlignment="1" applyProtection="1">
      <alignment horizontal="center" vertical="center"/>
      <protection locked="0"/>
    </xf>
    <xf numFmtId="43" fontId="30" fillId="4" borderId="60" xfId="0" applyNumberFormat="1" applyFont="1" applyFill="1" applyBorder="1" applyAlignment="1" applyProtection="1">
      <alignment horizontal="center" vertical="center"/>
      <protection locked="0"/>
    </xf>
    <xf numFmtId="0" fontId="35" fillId="0" borderId="0" xfId="0" applyFont="1" applyFill="1" applyAlignment="1">
      <alignment vertical="center"/>
    </xf>
    <xf numFmtId="0" fontId="35" fillId="0" borderId="67" xfId="0" applyFont="1" applyFill="1" applyBorder="1" applyAlignment="1">
      <alignment horizontal="left" vertical="center"/>
    </xf>
    <xf numFmtId="43" fontId="35" fillId="4" borderId="31" xfId="0" applyNumberFormat="1" applyFont="1" applyFill="1" applyBorder="1" applyAlignment="1" applyProtection="1">
      <alignment horizontal="center" vertical="center"/>
      <protection locked="0"/>
    </xf>
    <xf numFmtId="43" fontId="35" fillId="4" borderId="60" xfId="0" applyNumberFormat="1" applyFont="1" applyFill="1" applyBorder="1" applyAlignment="1" applyProtection="1">
      <alignment horizontal="center" vertical="center"/>
      <protection locked="0"/>
    </xf>
    <xf numFmtId="43" fontId="30" fillId="4" borderId="14" xfId="45" applyFont="1" applyFill="1" applyBorder="1" applyAlignment="1" applyProtection="1">
      <alignment horizontal="center" vertical="center"/>
      <protection locked="0"/>
    </xf>
    <xf numFmtId="43" fontId="30" fillId="4" borderId="46" xfId="45" applyFont="1" applyFill="1" applyBorder="1" applyAlignment="1" applyProtection="1">
      <alignment horizontal="center" vertical="center"/>
      <protection locked="0"/>
    </xf>
    <xf numFmtId="43" fontId="33" fillId="4" borderId="31" xfId="45" applyFont="1" applyFill="1" applyBorder="1" applyAlignment="1" applyProtection="1">
      <alignment horizontal="center" vertical="center"/>
      <protection locked="0"/>
    </xf>
    <xf numFmtId="43" fontId="33" fillId="4" borderId="60" xfId="45" applyFont="1" applyFill="1" applyBorder="1" applyAlignment="1" applyProtection="1">
      <alignment horizontal="center" vertical="center"/>
      <protection locked="0"/>
    </xf>
    <xf numFmtId="43" fontId="30" fillId="4" borderId="14" xfId="45" applyFont="1" applyFill="1" applyBorder="1" applyAlignment="1">
      <alignment horizontal="center" vertical="center"/>
    </xf>
    <xf numFmtId="43" fontId="30" fillId="4" borderId="31" xfId="45" applyFont="1" applyFill="1" applyBorder="1" applyAlignment="1" applyProtection="1">
      <alignment horizontal="center" vertical="center"/>
      <protection locked="0"/>
    </xf>
    <xf numFmtId="43" fontId="30" fillId="4" borderId="60" xfId="45" applyFont="1" applyFill="1" applyBorder="1" applyAlignment="1" applyProtection="1">
      <alignment horizontal="center" vertical="center"/>
      <protection locked="0"/>
    </xf>
    <xf numFmtId="43" fontId="39" fillId="0" borderId="31" xfId="45" applyFont="1" applyFill="1" applyBorder="1" applyAlignment="1" applyProtection="1">
      <alignment horizontal="center" vertical="center"/>
      <protection locked="0"/>
    </xf>
    <xf numFmtId="43" fontId="39" fillId="0" borderId="68" xfId="45" applyFont="1" applyFill="1" applyBorder="1" applyAlignment="1" applyProtection="1">
      <alignment horizontal="center" vertical="center"/>
      <protection locked="0"/>
    </xf>
    <xf numFmtId="43" fontId="30" fillId="4" borderId="14" xfId="45" applyFont="1" applyFill="1" applyBorder="1" applyAlignment="1" applyProtection="1">
      <alignment horizontal="center" vertical="center"/>
      <protection locked="0"/>
    </xf>
    <xf numFmtId="43" fontId="30" fillId="4" borderId="49" xfId="45" applyFont="1" applyFill="1" applyBorder="1" applyAlignment="1" applyProtection="1">
      <alignment horizontal="center" vertical="center"/>
      <protection locked="0"/>
    </xf>
    <xf numFmtId="43" fontId="30" fillId="4" borderId="46" xfId="45" applyFont="1" applyFill="1" applyBorder="1" applyAlignment="1" applyProtection="1">
      <alignment vertical="center"/>
      <protection locked="0"/>
    </xf>
    <xf numFmtId="43" fontId="30" fillId="4" borderId="35" xfId="45" applyFont="1" applyFill="1" applyBorder="1" applyAlignment="1" applyProtection="1">
      <alignment horizontal="center" vertical="center"/>
      <protection locked="0"/>
    </xf>
    <xf numFmtId="43" fontId="30" fillId="4" borderId="21" xfId="45" applyFont="1" applyFill="1" applyBorder="1" applyAlignment="1" applyProtection="1">
      <alignment vertical="center"/>
      <protection locked="0"/>
    </xf>
    <xf numFmtId="43" fontId="33" fillId="4" borderId="31" xfId="45" applyFont="1" applyFill="1" applyBorder="1" applyAlignment="1">
      <alignment horizontal="center" vertical="center"/>
    </xf>
    <xf numFmtId="43" fontId="33" fillId="4" borderId="60" xfId="45" applyFont="1" applyFill="1" applyBorder="1" applyAlignment="1">
      <alignment horizontal="center" vertical="center"/>
    </xf>
    <xf numFmtId="43" fontId="30" fillId="0" borderId="31" xfId="0" applyNumberFormat="1" applyFont="1" applyFill="1" applyBorder="1" applyAlignment="1" applyProtection="1">
      <alignment horizontal="center" vertical="center"/>
      <protection locked="0"/>
    </xf>
    <xf numFmtId="0" fontId="34" fillId="0" borderId="0" xfId="0" applyFont="1" applyFill="1" applyAlignment="1">
      <alignment vertical="center"/>
    </xf>
    <xf numFmtId="0" fontId="34" fillId="0" borderId="67" xfId="0" applyFont="1" applyFill="1" applyBorder="1" applyAlignment="1">
      <alignment horizontal="left" vertical="center"/>
    </xf>
    <xf numFmtId="0" fontId="34" fillId="0" borderId="20" xfId="0" applyFont="1" applyFill="1" applyBorder="1" applyAlignment="1">
      <alignment horizontal="left" vertical="center"/>
    </xf>
    <xf numFmtId="43" fontId="34" fillId="0" borderId="14" xfId="0" applyNumberFormat="1" applyFont="1" applyFill="1" applyBorder="1" applyAlignment="1" applyProtection="1">
      <alignment horizontal="center" vertical="center"/>
      <protection locked="0"/>
    </xf>
    <xf numFmtId="43" fontId="30" fillId="0" borderId="14" xfId="45" applyFont="1" applyFill="1" applyBorder="1" applyAlignment="1" applyProtection="1">
      <alignment horizontal="center" vertical="center"/>
      <protection locked="0"/>
    </xf>
    <xf numFmtId="43" fontId="33" fillId="0" borderId="31" xfId="45" applyFont="1" applyFill="1" applyBorder="1" applyAlignment="1" applyProtection="1">
      <alignment horizontal="center" vertical="center"/>
      <protection locked="0"/>
    </xf>
    <xf numFmtId="43" fontId="30" fillId="0" borderId="14" xfId="45" applyFont="1" applyFill="1" applyBorder="1" applyAlignment="1" applyProtection="1">
      <alignment horizontal="center" vertical="center"/>
      <protection locked="0"/>
    </xf>
    <xf numFmtId="43" fontId="40" fillId="0" borderId="14" xfId="45" applyFont="1" applyFill="1" applyBorder="1" applyAlignment="1" applyProtection="1">
      <alignment horizontal="center" vertical="center"/>
      <protection locked="0"/>
    </xf>
    <xf numFmtId="0" fontId="35" fillId="0" borderId="20" xfId="0" applyFont="1" applyFill="1" applyBorder="1" applyAlignment="1">
      <alignment vertical="center"/>
    </xf>
    <xf numFmtId="43" fontId="35" fillId="0" borderId="14" xfId="45" applyFont="1" applyFill="1" applyBorder="1" applyAlignment="1" applyProtection="1">
      <alignment horizontal="center" vertical="center"/>
      <protection locked="0"/>
    </xf>
    <xf numFmtId="43" fontId="35" fillId="0" borderId="49" xfId="45" applyFont="1" applyFill="1" applyBorder="1" applyAlignment="1" applyProtection="1">
      <alignment horizontal="center" vertical="center"/>
      <protection locked="0"/>
    </xf>
    <xf numFmtId="43" fontId="35" fillId="0" borderId="46" xfId="45" applyFont="1" applyFill="1" applyBorder="1" applyAlignment="1" applyProtection="1">
      <alignment vertical="center"/>
      <protection locked="0"/>
    </xf>
    <xf numFmtId="43" fontId="33" fillId="0" borderId="14" xfId="45" applyFont="1" applyFill="1" applyBorder="1" applyAlignment="1" applyProtection="1">
      <alignment horizontal="center" vertical="center"/>
      <protection locked="0"/>
    </xf>
    <xf numFmtId="43" fontId="33" fillId="0" borderId="49" xfId="45" applyFont="1" applyFill="1" applyBorder="1" applyAlignment="1" applyProtection="1">
      <alignment horizontal="center" vertical="center"/>
      <protection locked="0"/>
    </xf>
    <xf numFmtId="43" fontId="30" fillId="0" borderId="46" xfId="45" applyFont="1" applyFill="1" applyBorder="1" applyAlignment="1" applyProtection="1">
      <alignment vertical="center"/>
      <protection locked="0"/>
    </xf>
    <xf numFmtId="43" fontId="31" fillId="33" borderId="31" xfId="45" applyFont="1" applyFill="1" applyBorder="1" applyAlignment="1" applyProtection="1">
      <alignment horizontal="center" vertical="center"/>
      <protection locked="0"/>
    </xf>
    <xf numFmtId="43" fontId="31" fillId="33" borderId="60" xfId="45" applyFont="1" applyFill="1" applyBorder="1" applyAlignment="1" applyProtection="1">
      <alignment horizontal="center" vertical="center"/>
      <protection locked="0"/>
    </xf>
    <xf numFmtId="43" fontId="0" fillId="0" borderId="0" xfId="0" applyNumberFormat="1" applyFill="1" applyAlignment="1">
      <alignment vertical="center"/>
    </xf>
    <xf numFmtId="43" fontId="30" fillId="34" borderId="31" xfId="45" applyFont="1" applyFill="1" applyBorder="1" applyAlignment="1">
      <alignment vertical="center"/>
    </xf>
    <xf numFmtId="0" fontId="3" fillId="0" borderId="0" xfId="0" applyFont="1" applyAlignment="1">
      <alignment vertical="center"/>
    </xf>
    <xf numFmtId="43" fontId="21" fillId="33" borderId="15" xfId="45" applyFont="1" applyFill="1" applyBorder="1" applyAlignment="1">
      <alignment vertical="center"/>
    </xf>
    <xf numFmtId="43" fontId="17" fillId="33" borderId="15" xfId="45" applyFont="1" applyFill="1" applyBorder="1" applyAlignment="1">
      <alignment vertical="center"/>
    </xf>
    <xf numFmtId="43" fontId="20" fillId="33" borderId="49" xfId="45"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Border="1" applyAlignment="1">
      <alignment vertical="center"/>
    </xf>
    <xf numFmtId="43" fontId="4" fillId="0" borderId="0" xfId="0" applyNumberFormat="1" applyFont="1" applyFill="1" applyBorder="1" applyAlignment="1">
      <alignment vertical="center"/>
    </xf>
    <xf numFmtId="0" fontId="0" fillId="0" borderId="0" xfId="0" applyAlignment="1">
      <alignment vertical="center" wrapText="1"/>
    </xf>
    <xf numFmtId="0" fontId="0" fillId="0" borderId="0" xfId="0" applyBorder="1" applyAlignment="1">
      <alignment vertical="center" wrapText="1"/>
    </xf>
    <xf numFmtId="0" fontId="4" fillId="0" borderId="0" xfId="0" applyFont="1" applyBorder="1" applyAlignment="1">
      <alignment vertical="center" wrapText="1"/>
    </xf>
    <xf numFmtId="0" fontId="0" fillId="0" borderId="0" xfId="0" applyFont="1" applyAlignment="1">
      <alignment vertical="center"/>
    </xf>
    <xf numFmtId="0" fontId="4" fillId="0" borderId="0" xfId="0" applyFont="1" applyBorder="1" applyAlignment="1">
      <alignment vertical="center"/>
    </xf>
    <xf numFmtId="43" fontId="30" fillId="0" borderId="60" xfId="0" applyNumberFormat="1" applyFont="1" applyFill="1" applyBorder="1" applyAlignment="1" applyProtection="1">
      <alignment horizontal="center" vertical="center"/>
      <protection locked="0"/>
    </xf>
    <xf numFmtId="43" fontId="34" fillId="0" borderId="46" xfId="0" applyNumberFormat="1" applyFont="1" applyFill="1" applyBorder="1" applyAlignment="1" applyProtection="1">
      <alignment horizontal="center" vertical="center"/>
      <protection locked="0"/>
    </xf>
    <xf numFmtId="43" fontId="30" fillId="0" borderId="46" xfId="45" applyFont="1" applyFill="1" applyBorder="1" applyAlignment="1" applyProtection="1">
      <alignment horizontal="center" vertical="center"/>
      <protection locked="0"/>
    </xf>
    <xf numFmtId="43" fontId="33" fillId="0" borderId="60" xfId="45" applyFont="1" applyFill="1" applyBorder="1" applyAlignment="1" applyProtection="1">
      <alignment horizontal="center" vertical="center"/>
      <protection locked="0"/>
    </xf>
    <xf numFmtId="43" fontId="30" fillId="0" borderId="46" xfId="45" applyFont="1" applyFill="1" applyBorder="1" applyAlignment="1" applyProtection="1">
      <alignment horizontal="center" vertical="center"/>
      <protection locked="0"/>
    </xf>
    <xf numFmtId="43" fontId="40" fillId="0" borderId="46" xfId="45" applyFont="1" applyFill="1" applyBorder="1" applyAlignment="1" applyProtection="1">
      <alignment horizontal="center" vertical="center"/>
      <protection locked="0"/>
    </xf>
    <xf numFmtId="43" fontId="20" fillId="0" borderId="26" xfId="45" applyFont="1" applyFill="1" applyBorder="1" applyAlignment="1">
      <alignment horizontal="center" vertical="center" wrapText="1"/>
    </xf>
    <xf numFmtId="43" fontId="20" fillId="0" borderId="69" xfId="45" applyFont="1" applyFill="1" applyBorder="1" applyAlignment="1">
      <alignment horizontal="center" vertical="center" wrapText="1"/>
    </xf>
    <xf numFmtId="43" fontId="20" fillId="0" borderId="70" xfId="45" applyFont="1" applyFill="1" applyBorder="1" applyAlignment="1">
      <alignment horizontal="center" vertical="center" wrapText="1"/>
    </xf>
    <xf numFmtId="43" fontId="22" fillId="0" borderId="56" xfId="45" applyFont="1" applyFill="1" applyBorder="1" applyAlignment="1">
      <alignment horizontal="center" vertical="center" wrapText="1"/>
    </xf>
    <xf numFmtId="43" fontId="22" fillId="0" borderId="71" xfId="45" applyFont="1" applyFill="1" applyBorder="1" applyAlignment="1">
      <alignment horizontal="center" vertical="center" wrapText="1"/>
    </xf>
    <xf numFmtId="0" fontId="0" fillId="0" borderId="0" xfId="0" applyFont="1" applyAlignment="1">
      <alignment vertical="center" wrapText="1"/>
    </xf>
    <xf numFmtId="43" fontId="0" fillId="0" borderId="0" xfId="45" applyFont="1" applyFill="1" applyAlignment="1">
      <alignment vertical="center"/>
    </xf>
    <xf numFmtId="0" fontId="32" fillId="0" borderId="16"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51" xfId="0" applyFont="1" applyFill="1" applyBorder="1" applyAlignment="1">
      <alignment horizontal="center" vertical="center" wrapText="1"/>
    </xf>
    <xf numFmtId="0" fontId="32" fillId="0" borderId="18" xfId="0" applyFont="1" applyFill="1" applyBorder="1" applyAlignment="1">
      <alignment horizontal="center" vertical="center" wrapText="1"/>
    </xf>
    <xf numFmtId="43" fontId="30" fillId="4" borderId="48" xfId="0" applyNumberFormat="1" applyFont="1" applyFill="1" applyBorder="1" applyAlignment="1" applyProtection="1">
      <alignment horizontal="center" vertical="center"/>
      <protection locked="0"/>
    </xf>
    <xf numFmtId="43" fontId="35" fillId="4" borderId="48" xfId="0" applyNumberFormat="1" applyFont="1" applyFill="1" applyBorder="1" applyAlignment="1" applyProtection="1">
      <alignment horizontal="center" vertical="center"/>
      <protection locked="0"/>
    </xf>
    <xf numFmtId="43" fontId="30" fillId="4" borderId="49" xfId="45" applyFont="1" applyFill="1" applyBorder="1" applyAlignment="1" applyProtection="1">
      <alignment horizontal="center" vertical="center"/>
      <protection locked="0"/>
    </xf>
    <xf numFmtId="43" fontId="33" fillId="4" borderId="48" xfId="45" applyFont="1" applyFill="1" applyBorder="1" applyAlignment="1" applyProtection="1">
      <alignment horizontal="center" vertical="center"/>
      <protection locked="0"/>
    </xf>
    <xf numFmtId="43" fontId="38" fillId="0" borderId="72" xfId="45" applyFont="1" applyFill="1" applyBorder="1" applyAlignment="1">
      <alignment horizontal="center" vertical="center"/>
    </xf>
    <xf numFmtId="43" fontId="7" fillId="0" borderId="48" xfId="45" applyFont="1" applyFill="1" applyBorder="1" applyAlignment="1">
      <alignment horizontal="center" vertical="center"/>
    </xf>
    <xf numFmtId="43" fontId="7" fillId="0" borderId="72" xfId="45" applyFont="1" applyFill="1" applyBorder="1" applyAlignment="1">
      <alignment vertical="center"/>
    </xf>
    <xf numFmtId="43" fontId="30" fillId="4" borderId="49" xfId="45" applyFont="1" applyFill="1" applyBorder="1" applyAlignment="1">
      <alignment horizontal="center" vertical="center"/>
    </xf>
    <xf numFmtId="43" fontId="30" fillId="4" borderId="46" xfId="45" applyFont="1" applyFill="1" applyBorder="1" applyAlignment="1">
      <alignment horizontal="center" vertical="center"/>
    </xf>
    <xf numFmtId="43" fontId="30" fillId="0" borderId="48" xfId="0" applyNumberFormat="1" applyFont="1" applyFill="1" applyBorder="1" applyAlignment="1" applyProtection="1">
      <alignment horizontal="center" vertical="center"/>
      <protection locked="0"/>
    </xf>
    <xf numFmtId="43" fontId="39" fillId="0" borderId="48" xfId="45" applyFont="1" applyFill="1" applyBorder="1" applyAlignment="1" applyProtection="1">
      <alignment horizontal="center" vertical="center"/>
      <protection locked="0"/>
    </xf>
    <xf numFmtId="43" fontId="34" fillId="0" borderId="49" xfId="0" applyNumberFormat="1" applyFont="1" applyFill="1" applyBorder="1" applyAlignment="1" applyProtection="1">
      <alignment horizontal="center" vertical="center"/>
      <protection locked="0"/>
    </xf>
    <xf numFmtId="43" fontId="30" fillId="0" borderId="49" xfId="45" applyFont="1" applyFill="1" applyBorder="1" applyAlignment="1" applyProtection="1">
      <alignment horizontal="center" vertical="center"/>
      <protection locked="0"/>
    </xf>
    <xf numFmtId="43" fontId="33" fillId="0" borderId="48" xfId="45" applyFont="1" applyFill="1" applyBorder="1" applyAlignment="1" applyProtection="1">
      <alignment horizontal="center" vertical="center"/>
      <protection locked="0"/>
    </xf>
    <xf numFmtId="43" fontId="30" fillId="0" borderId="49" xfId="45" applyFont="1" applyFill="1" applyBorder="1" applyAlignment="1" applyProtection="1">
      <alignment horizontal="center" vertical="center"/>
      <protection locked="0"/>
    </xf>
    <xf numFmtId="43" fontId="30" fillId="0" borderId="49" xfId="45" applyFont="1" applyFill="1" applyBorder="1" applyAlignment="1" applyProtection="1">
      <alignment vertical="center"/>
      <protection locked="0"/>
    </xf>
    <xf numFmtId="43" fontId="40" fillId="0" borderId="49" xfId="45" applyFont="1" applyFill="1" applyBorder="1" applyAlignment="1" applyProtection="1">
      <alignment horizontal="center" vertical="center"/>
      <protection locked="0"/>
    </xf>
    <xf numFmtId="43" fontId="30" fillId="0" borderId="46" xfId="45" applyFont="1" applyFill="1" applyBorder="1" applyAlignment="1">
      <alignment horizontal="center" vertical="center"/>
    </xf>
    <xf numFmtId="0" fontId="0" fillId="0" borderId="73" xfId="0" applyFill="1" applyBorder="1" applyAlignment="1">
      <alignment vertical="center"/>
    </xf>
    <xf numFmtId="43" fontId="39" fillId="0" borderId="60" xfId="45" applyFont="1" applyFill="1" applyBorder="1" applyAlignment="1" applyProtection="1">
      <alignment horizontal="center" vertical="center"/>
      <protection locked="0"/>
    </xf>
    <xf numFmtId="43" fontId="31" fillId="32" borderId="31" xfId="0" applyNumberFormat="1" applyFont="1" applyFill="1" applyBorder="1" applyAlignment="1" applyProtection="1">
      <alignment horizontal="center" vertical="center"/>
      <protection locked="0"/>
    </xf>
    <xf numFmtId="43" fontId="31" fillId="32" borderId="31" xfId="45" applyFont="1" applyFill="1" applyBorder="1" applyAlignment="1" applyProtection="1">
      <alignment horizontal="center" vertical="center"/>
      <protection locked="0"/>
    </xf>
    <xf numFmtId="43" fontId="31" fillId="32" borderId="48" xfId="45" applyFont="1" applyFill="1" applyBorder="1" applyAlignment="1" applyProtection="1">
      <alignment horizontal="center" vertical="center"/>
      <protection locked="0"/>
    </xf>
    <xf numFmtId="43" fontId="31" fillId="32" borderId="60" xfId="45" applyFont="1" applyFill="1" applyBorder="1" applyAlignment="1" applyProtection="1">
      <alignment horizontal="center" vertical="center"/>
      <protection locked="0"/>
    </xf>
    <xf numFmtId="43" fontId="30" fillId="0" borderId="49" xfId="45" applyFont="1" applyFill="1" applyBorder="1" applyAlignment="1">
      <alignment horizontal="center" vertical="center"/>
    </xf>
    <xf numFmtId="43" fontId="35" fillId="0" borderId="49" xfId="45" applyFont="1" applyFill="1" applyBorder="1" applyAlignment="1" applyProtection="1">
      <alignment vertical="center"/>
      <protection locked="0"/>
    </xf>
    <xf numFmtId="43" fontId="33" fillId="0" borderId="48" xfId="45" applyFont="1" applyFill="1" applyBorder="1" applyAlignment="1">
      <alignment horizontal="center" vertical="center"/>
    </xf>
    <xf numFmtId="43" fontId="31" fillId="33" borderId="48" xfId="45" applyFont="1" applyFill="1" applyBorder="1" applyAlignment="1" applyProtection="1">
      <alignment horizontal="center" vertical="center"/>
      <protection locked="0"/>
    </xf>
    <xf numFmtId="0" fontId="0" fillId="0" borderId="74" xfId="0" applyFill="1" applyBorder="1" applyAlignment="1">
      <alignment vertical="center"/>
    </xf>
    <xf numFmtId="0" fontId="5" fillId="0" borderId="0" xfId="0" applyFont="1" applyAlignment="1">
      <alignment horizontal="center" vertical="center"/>
    </xf>
    <xf numFmtId="0" fontId="30" fillId="0" borderId="0" xfId="0" applyFont="1" applyAlignment="1">
      <alignment horizontal="center" vertical="center"/>
    </xf>
    <xf numFmtId="0" fontId="30" fillId="0" borderId="0" xfId="0" applyFont="1" applyAlignment="1">
      <alignment horizontal="left" vertical="center"/>
    </xf>
    <xf numFmtId="0" fontId="30" fillId="0" borderId="31" xfId="0" applyFont="1" applyBorder="1" applyAlignment="1">
      <alignment horizontal="left" vertical="center"/>
    </xf>
    <xf numFmtId="43" fontId="30" fillId="0" borderId="31" xfId="45" applyFont="1" applyBorder="1" applyAlignment="1">
      <alignment horizontal="center" vertical="center"/>
    </xf>
    <xf numFmtId="0" fontId="6" fillId="0" borderId="75" xfId="0" applyFont="1" applyFill="1" applyBorder="1" applyAlignment="1">
      <alignment vertical="center"/>
    </xf>
    <xf numFmtId="0" fontId="5" fillId="0" borderId="0" xfId="0" applyFont="1" applyFill="1" applyBorder="1" applyAlignment="1">
      <alignment vertical="center"/>
    </xf>
    <xf numFmtId="43" fontId="5" fillId="0" borderId="0" xfId="45" applyFont="1" applyFill="1" applyBorder="1" applyAlignment="1">
      <alignment vertical="center"/>
    </xf>
    <xf numFmtId="0" fontId="5" fillId="0" borderId="0" xfId="0" applyFont="1" applyFill="1" applyAlignment="1">
      <alignment vertical="center"/>
    </xf>
    <xf numFmtId="43" fontId="0" fillId="0" borderId="11" xfId="45" applyFont="1" applyBorder="1" applyAlignment="1">
      <alignment vertical="center"/>
    </xf>
    <xf numFmtId="43" fontId="0" fillId="35" borderId="14" xfId="45" applyFont="1" applyFill="1" applyBorder="1" applyAlignment="1">
      <alignment horizontal="center" vertical="center"/>
    </xf>
    <xf numFmtId="43" fontId="0" fillId="35" borderId="49" xfId="45" applyFont="1" applyFill="1" applyBorder="1" applyAlignment="1">
      <alignment horizontal="center" vertical="center"/>
    </xf>
    <xf numFmtId="43" fontId="0" fillId="35" borderId="46" xfId="0" applyNumberFormat="1" applyFill="1" applyBorder="1" applyAlignment="1">
      <alignment vertical="center"/>
    </xf>
    <xf numFmtId="43" fontId="0" fillId="35" borderId="11" xfId="45" applyFont="1" applyFill="1" applyBorder="1" applyAlignment="1">
      <alignment horizontal="center" vertical="center"/>
    </xf>
    <xf numFmtId="43" fontId="0" fillId="35" borderId="35" xfId="45" applyFont="1" applyFill="1" applyBorder="1" applyAlignment="1">
      <alignment horizontal="center" vertical="center"/>
    </xf>
    <xf numFmtId="0" fontId="0" fillId="35" borderId="21" xfId="0" applyFill="1" applyBorder="1" applyAlignment="1">
      <alignment vertical="center"/>
    </xf>
    <xf numFmtId="0" fontId="0" fillId="35" borderId="46" xfId="0" applyFill="1" applyBorder="1" applyAlignment="1">
      <alignment vertical="center"/>
    </xf>
    <xf numFmtId="43" fontId="24" fillId="35" borderId="31" xfId="45" applyFont="1" applyFill="1" applyBorder="1" applyAlignment="1">
      <alignment horizontal="center" vertical="center"/>
    </xf>
    <xf numFmtId="43" fontId="24" fillId="35" borderId="48" xfId="45" applyFont="1" applyFill="1" applyBorder="1" applyAlignment="1">
      <alignment horizontal="center" vertical="center"/>
    </xf>
    <xf numFmtId="43" fontId="0" fillId="35" borderId="60" xfId="45" applyFont="1" applyFill="1" applyBorder="1" applyAlignment="1">
      <alignment vertical="center"/>
    </xf>
    <xf numFmtId="43" fontId="0" fillId="35" borderId="46" xfId="45" applyFont="1" applyFill="1" applyBorder="1" applyAlignment="1">
      <alignment vertical="center"/>
    </xf>
    <xf numFmtId="43" fontId="16" fillId="35" borderId="14" xfId="45" applyFont="1" applyFill="1" applyBorder="1" applyAlignment="1">
      <alignment horizontal="center" vertical="center"/>
    </xf>
    <xf numFmtId="43" fontId="16" fillId="35" borderId="49" xfId="45" applyFont="1" applyFill="1" applyBorder="1" applyAlignment="1">
      <alignment horizontal="center" vertical="center"/>
    </xf>
    <xf numFmtId="0" fontId="0" fillId="0" borderId="0" xfId="0" applyFont="1" applyFill="1" applyAlignment="1">
      <alignment vertical="center"/>
    </xf>
    <xf numFmtId="0" fontId="46" fillId="0" borderId="0" xfId="0" applyFont="1" applyAlignment="1">
      <alignment vertical="center"/>
    </xf>
    <xf numFmtId="0" fontId="0" fillId="0" borderId="0" xfId="0" applyFont="1" applyBorder="1" applyAlignment="1">
      <alignment vertical="center"/>
    </xf>
    <xf numFmtId="43" fontId="6" fillId="0" borderId="14" xfId="45" applyFont="1" applyFill="1" applyBorder="1" applyAlignment="1">
      <alignment horizontal="right" vertical="center"/>
    </xf>
    <xf numFmtId="4" fontId="0" fillId="0" borderId="0" xfId="0" applyNumberFormat="1" applyFont="1" applyBorder="1" applyAlignment="1">
      <alignment vertical="center"/>
    </xf>
    <xf numFmtId="43" fontId="5" fillId="0" borderId="14" xfId="45" applyFont="1" applyFill="1" applyBorder="1" applyAlignment="1">
      <alignment horizontal="right" vertical="center"/>
    </xf>
    <xf numFmtId="43" fontId="6" fillId="0" borderId="31" xfId="45" applyFont="1" applyFill="1" applyBorder="1" applyAlignment="1">
      <alignment horizontal="right" vertical="center"/>
    </xf>
    <xf numFmtId="43" fontId="5" fillId="0" borderId="31" xfId="45" applyFont="1" applyFill="1" applyBorder="1" applyAlignment="1">
      <alignment horizontal="right" vertical="center"/>
    </xf>
    <xf numFmtId="43" fontId="5" fillId="0" borderId="11" xfId="45" applyFont="1" applyFill="1" applyBorder="1" applyAlignment="1">
      <alignment horizontal="right" vertical="center"/>
    </xf>
    <xf numFmtId="43" fontId="3" fillId="0" borderId="14" xfId="45" applyFont="1" applyFill="1" applyBorder="1" applyAlignment="1">
      <alignment horizontal="right" vertical="center"/>
    </xf>
    <xf numFmtId="43" fontId="44" fillId="0" borderId="31" xfId="0" applyNumberFormat="1" applyFont="1" applyFill="1" applyBorder="1" applyAlignment="1">
      <alignment vertical="center"/>
    </xf>
    <xf numFmtId="10" fontId="3" fillId="0" borderId="31" xfId="0" applyNumberFormat="1" applyFont="1" applyFill="1" applyBorder="1" applyAlignment="1">
      <alignment vertical="center"/>
    </xf>
    <xf numFmtId="0" fontId="0" fillId="0" borderId="0" xfId="0" applyFont="1" applyAlignment="1" quotePrefix="1">
      <alignment vertical="center"/>
    </xf>
    <xf numFmtId="0" fontId="0" fillId="0" borderId="0" xfId="0" applyFont="1" applyAlignment="1" quotePrefix="1">
      <alignment horizontal="left" vertical="center"/>
    </xf>
    <xf numFmtId="0" fontId="4" fillId="0" borderId="11" xfId="0" applyFont="1" applyFill="1" applyBorder="1" applyAlignment="1">
      <alignment vertical="center" wrapText="1"/>
    </xf>
    <xf numFmtId="0" fontId="0" fillId="0" borderId="35" xfId="0" applyFont="1" applyBorder="1" applyAlignment="1">
      <alignment horizontal="left" vertical="center" wrapText="1"/>
    </xf>
    <xf numFmtId="0" fontId="0" fillId="0" borderId="0" xfId="0" applyFont="1" applyBorder="1" applyAlignment="1">
      <alignment horizontal="left" vertical="center" wrapText="1"/>
    </xf>
    <xf numFmtId="0" fontId="0" fillId="35" borderId="76" xfId="0" applyFont="1" applyFill="1" applyBorder="1" applyAlignment="1" applyProtection="1" quotePrefix="1">
      <alignment horizontal="center" vertical="center" wrapText="1"/>
      <protection hidden="1"/>
    </xf>
    <xf numFmtId="0" fontId="0" fillId="35" borderId="77" xfId="0" applyFont="1" applyFill="1" applyBorder="1" applyAlignment="1" applyProtection="1">
      <alignment vertical="center" wrapText="1"/>
      <protection locked="0"/>
    </xf>
    <xf numFmtId="185" fontId="17" fillId="0" borderId="78" xfId="45" applyNumberFormat="1" applyFont="1" applyFill="1" applyBorder="1" applyAlignment="1">
      <alignment horizontal="center"/>
    </xf>
    <xf numFmtId="186" fontId="101" fillId="0" borderId="79" xfId="45" applyNumberFormat="1" applyFont="1" applyFill="1" applyBorder="1" applyAlignment="1">
      <alignment horizontal="center"/>
    </xf>
    <xf numFmtId="43" fontId="101" fillId="0" borderId="79" xfId="45" applyFont="1" applyFill="1" applyBorder="1" applyAlignment="1">
      <alignment/>
    </xf>
    <xf numFmtId="0" fontId="17" fillId="0" borderId="80" xfId="0" applyFont="1" applyFill="1" applyBorder="1" applyAlignment="1">
      <alignment horizontal="center" vertical="center" wrapText="1"/>
    </xf>
    <xf numFmtId="0" fontId="17" fillId="0" borderId="81" xfId="0" applyFont="1" applyFill="1" applyBorder="1" applyAlignment="1">
      <alignment horizontal="center" vertical="center" wrapText="1"/>
    </xf>
    <xf numFmtId="0" fontId="0" fillId="0" borderId="48" xfId="0" applyFont="1" applyBorder="1" applyAlignment="1">
      <alignment vertical="center"/>
    </xf>
    <xf numFmtId="0" fontId="0" fillId="0" borderId="32" xfId="0" applyFont="1" applyBorder="1" applyAlignment="1">
      <alignment vertical="center"/>
    </xf>
    <xf numFmtId="0" fontId="0" fillId="0" borderId="32" xfId="0" applyFont="1" applyFill="1" applyBorder="1" applyAlignment="1">
      <alignment vertical="center"/>
    </xf>
    <xf numFmtId="0" fontId="0" fillId="0" borderId="31" xfId="0" applyFont="1" applyFill="1" applyBorder="1" applyAlignment="1">
      <alignment vertical="center"/>
    </xf>
    <xf numFmtId="0" fontId="0" fillId="0" borderId="29" xfId="0" applyFont="1" applyFill="1" applyBorder="1" applyAlignment="1">
      <alignment vertical="center"/>
    </xf>
    <xf numFmtId="0" fontId="48" fillId="0" borderId="32" xfId="0" applyFont="1" applyFill="1" applyBorder="1" applyAlignment="1">
      <alignment vertical="center" wrapText="1"/>
    </xf>
    <xf numFmtId="0" fontId="48" fillId="0" borderId="31" xfId="0" applyFont="1" applyFill="1" applyBorder="1" applyAlignment="1">
      <alignment vertical="center" wrapText="1"/>
    </xf>
    <xf numFmtId="0" fontId="48" fillId="0" borderId="29" xfId="0" applyFont="1" applyFill="1" applyBorder="1" applyAlignment="1">
      <alignment vertical="center" wrapText="1"/>
    </xf>
    <xf numFmtId="0" fontId="17" fillId="0" borderId="48" xfId="0" applyFont="1" applyBorder="1" applyAlignment="1">
      <alignment vertical="center"/>
    </xf>
    <xf numFmtId="0" fontId="17" fillId="0" borderId="32" xfId="0" applyFont="1" applyBorder="1" applyAlignment="1">
      <alignment vertical="center"/>
    </xf>
    <xf numFmtId="0" fontId="17" fillId="0" borderId="32" xfId="0" applyFont="1" applyFill="1" applyBorder="1" applyAlignment="1">
      <alignment vertical="center"/>
    </xf>
    <xf numFmtId="0" fontId="17" fillId="0" borderId="31" xfId="0" applyFont="1" applyFill="1" applyBorder="1" applyAlignment="1">
      <alignment vertical="center"/>
    </xf>
    <xf numFmtId="0" fontId="17" fillId="0" borderId="29" xfId="0" applyFont="1" applyFill="1" applyBorder="1" applyAlignment="1">
      <alignment vertical="center"/>
    </xf>
    <xf numFmtId="0" fontId="118" fillId="36" borderId="0" xfId="0" applyFont="1" applyFill="1" applyAlignment="1">
      <alignment horizontal="center" vertical="center"/>
    </xf>
    <xf numFmtId="0" fontId="4" fillId="0" borderId="35" xfId="0" applyFont="1" applyBorder="1" applyAlignment="1">
      <alignment vertical="center"/>
    </xf>
    <xf numFmtId="0" fontId="0" fillId="0" borderId="10" xfId="0" applyFill="1" applyBorder="1" applyAlignment="1">
      <alignment vertical="center"/>
    </xf>
    <xf numFmtId="0" fontId="0" fillId="0" borderId="35" xfId="0" applyFont="1" applyBorder="1" applyAlignment="1">
      <alignment vertical="center"/>
    </xf>
    <xf numFmtId="0" fontId="0" fillId="0" borderId="11" xfId="0" applyFill="1" applyBorder="1" applyAlignment="1" quotePrefix="1">
      <alignment horizontal="center" vertical="center"/>
    </xf>
    <xf numFmtId="43" fontId="43" fillId="0" borderId="10" xfId="45" applyFont="1" applyFill="1" applyBorder="1" applyAlignment="1">
      <alignment horizontal="right" vertical="center"/>
    </xf>
    <xf numFmtId="4" fontId="0" fillId="0" borderId="0" xfId="0" applyNumberFormat="1" applyBorder="1" applyAlignment="1">
      <alignment vertical="center"/>
    </xf>
    <xf numFmtId="4" fontId="0" fillId="0" borderId="11" xfId="0" applyNumberFormat="1" applyFill="1" applyBorder="1" applyAlignment="1">
      <alignment vertical="center"/>
    </xf>
    <xf numFmtId="0" fontId="0" fillId="0" borderId="35" xfId="0" applyBorder="1" applyAlignment="1">
      <alignment horizontal="left" vertical="center"/>
    </xf>
    <xf numFmtId="0" fontId="0" fillId="0" borderId="0" xfId="0" applyBorder="1" applyAlignment="1">
      <alignment horizontal="left" vertical="center"/>
    </xf>
    <xf numFmtId="187" fontId="0" fillId="0" borderId="0" xfId="0" applyNumberFormat="1" applyBorder="1" applyAlignment="1">
      <alignment vertical="center"/>
    </xf>
    <xf numFmtId="187" fontId="0" fillId="0" borderId="11" xfId="0" applyNumberFormat="1" applyFill="1" applyBorder="1" applyAlignment="1">
      <alignment vertical="center"/>
    </xf>
    <xf numFmtId="43" fontId="43" fillId="0" borderId="10" xfId="45" applyFont="1" applyFill="1" applyBorder="1" applyAlignment="1">
      <alignment vertical="center"/>
    </xf>
    <xf numFmtId="43" fontId="115" fillId="0" borderId="0" xfId="45" applyFont="1" applyFill="1" applyBorder="1" applyAlignment="1">
      <alignment vertical="center"/>
    </xf>
    <xf numFmtId="43" fontId="115" fillId="0" borderId="11" xfId="45" applyFont="1" applyFill="1" applyBorder="1" applyAlignment="1">
      <alignment vertical="center"/>
    </xf>
    <xf numFmtId="0" fontId="0" fillId="0" borderId="35" xfId="0" applyBorder="1" applyAlignment="1">
      <alignment vertical="center"/>
    </xf>
    <xf numFmtId="0" fontId="0" fillId="0" borderId="14" xfId="0" applyFill="1" applyBorder="1" applyAlignment="1">
      <alignment vertical="center"/>
    </xf>
    <xf numFmtId="0" fontId="43" fillId="0" borderId="15" xfId="0" applyFont="1" applyFill="1" applyBorder="1" applyAlignment="1">
      <alignment vertical="center"/>
    </xf>
    <xf numFmtId="4" fontId="0" fillId="0" borderId="13" xfId="0" applyNumberFormat="1" applyFill="1" applyBorder="1" applyAlignment="1">
      <alignment vertical="center"/>
    </xf>
    <xf numFmtId="0" fontId="0" fillId="0" borderId="35" xfId="0" applyBorder="1" applyAlignment="1">
      <alignment horizontal="left" vertical="center" wrapText="1"/>
    </xf>
    <xf numFmtId="0" fontId="0" fillId="0" borderId="0" xfId="0" applyBorder="1" applyAlignment="1">
      <alignment horizontal="left" vertical="center" wrapText="1"/>
    </xf>
    <xf numFmtId="0" fontId="0" fillId="0" borderId="35" xfId="0" applyBorder="1" applyAlignment="1">
      <alignment vertical="center" wrapText="1"/>
    </xf>
    <xf numFmtId="43" fontId="45" fillId="0" borderId="10" xfId="45" applyFont="1" applyFill="1" applyBorder="1" applyAlignment="1">
      <alignment vertical="center"/>
    </xf>
    <xf numFmtId="187" fontId="43" fillId="0" borderId="35" xfId="0" applyNumberFormat="1" applyFont="1" applyBorder="1" applyAlignment="1">
      <alignment horizontal="right" vertical="center"/>
    </xf>
    <xf numFmtId="0" fontId="0" fillId="0" borderId="11" xfId="0" applyFill="1" applyBorder="1" applyAlignment="1">
      <alignment horizontal="left" vertical="center" wrapText="1"/>
    </xf>
    <xf numFmtId="43" fontId="0" fillId="0" borderId="0" xfId="45" applyFont="1" applyFill="1" applyBorder="1" applyAlignment="1">
      <alignment horizontal="left" vertical="center" wrapText="1"/>
    </xf>
    <xf numFmtId="43" fontId="0" fillId="0" borderId="11" xfId="45" applyFont="1" applyFill="1" applyBorder="1" applyAlignment="1">
      <alignment horizontal="left" vertical="center" wrapText="1"/>
    </xf>
    <xf numFmtId="43" fontId="0" fillId="0" borderId="15" xfId="45" applyFont="1" applyFill="1" applyBorder="1" applyAlignment="1">
      <alignment vertical="center"/>
    </xf>
    <xf numFmtId="0" fontId="0" fillId="0" borderId="49" xfId="0" applyBorder="1" applyAlignment="1">
      <alignment vertical="center"/>
    </xf>
    <xf numFmtId="0" fontId="0" fillId="0" borderId="30" xfId="0" applyBorder="1" applyAlignment="1">
      <alignment vertical="center"/>
    </xf>
    <xf numFmtId="0" fontId="0" fillId="0" borderId="10" xfId="0" applyFill="1" applyBorder="1" applyAlignment="1">
      <alignment vertical="center" wrapText="1"/>
    </xf>
    <xf numFmtId="0" fontId="0" fillId="0" borderId="10" xfId="0" applyFill="1" applyBorder="1" applyAlignment="1">
      <alignment horizontal="left" vertical="center" wrapText="1"/>
    </xf>
    <xf numFmtId="189" fontId="43" fillId="0" borderId="15" xfId="0" applyNumberFormat="1" applyFont="1" applyFill="1" applyBorder="1" applyAlignment="1">
      <alignment vertical="center"/>
    </xf>
    <xf numFmtId="0" fontId="0" fillId="0" borderId="0" xfId="0" applyAlignment="1" quotePrefix="1">
      <alignment vertical="center"/>
    </xf>
    <xf numFmtId="43" fontId="4" fillId="0" borderId="11" xfId="45" applyFont="1" applyFill="1" applyBorder="1" applyAlignment="1">
      <alignment vertical="center" wrapText="1"/>
    </xf>
    <xf numFmtId="43" fontId="0" fillId="0" borderId="14" xfId="45" applyFont="1" applyFill="1" applyBorder="1" applyAlignment="1">
      <alignment vertical="center"/>
    </xf>
    <xf numFmtId="0" fontId="13" fillId="35" borderId="0" xfId="0" applyFont="1" applyFill="1" applyBorder="1" applyAlignment="1" applyProtection="1">
      <alignment vertical="center" wrapText="1"/>
      <protection locked="0"/>
    </xf>
    <xf numFmtId="0" fontId="29" fillId="35" borderId="0" xfId="0" applyFont="1" applyFill="1" applyBorder="1" applyAlignment="1" applyProtection="1">
      <alignment horizontal="center" vertical="center" wrapText="1"/>
      <protection locked="0"/>
    </xf>
    <xf numFmtId="0" fontId="2" fillId="35" borderId="0" xfId="0" applyFont="1" applyFill="1" applyBorder="1" applyAlignment="1" applyProtection="1">
      <alignment vertical="center" wrapText="1"/>
      <protection locked="0"/>
    </xf>
    <xf numFmtId="0" fontId="28" fillId="35" borderId="0" xfId="0" applyFont="1" applyFill="1" applyBorder="1" applyAlignment="1" applyProtection="1">
      <alignment horizontal="center" vertical="center" wrapText="1"/>
      <protection locked="0"/>
    </xf>
    <xf numFmtId="0" fontId="7" fillId="35" borderId="34" xfId="0" applyFont="1" applyFill="1" applyBorder="1" applyAlignment="1" applyProtection="1">
      <alignment vertical="center" wrapText="1"/>
      <protection hidden="1"/>
    </xf>
    <xf numFmtId="0" fontId="0" fillId="35" borderId="0" xfId="0" applyFont="1" applyFill="1" applyBorder="1" applyAlignment="1" applyProtection="1">
      <alignment vertical="center" wrapText="1"/>
      <protection locked="0"/>
    </xf>
    <xf numFmtId="0" fontId="26" fillId="35" borderId="0" xfId="0" applyFont="1" applyFill="1" applyBorder="1" applyAlignment="1" applyProtection="1">
      <alignment horizontal="center" vertical="center" wrapText="1"/>
      <protection locked="0"/>
    </xf>
    <xf numFmtId="0" fontId="3" fillId="35" borderId="82" xfId="0" applyFont="1" applyFill="1" applyBorder="1" applyAlignment="1" applyProtection="1">
      <alignment vertical="center" wrapText="1"/>
      <protection hidden="1"/>
    </xf>
    <xf numFmtId="0" fontId="3" fillId="35" borderId="71" xfId="0" applyFont="1" applyFill="1" applyBorder="1" applyAlignment="1" applyProtection="1">
      <alignment vertical="center" wrapText="1"/>
      <protection hidden="1"/>
    </xf>
    <xf numFmtId="0" fontId="3" fillId="35" borderId="0" xfId="0" applyFont="1" applyFill="1" applyBorder="1" applyAlignment="1" applyProtection="1">
      <alignment horizontal="center" vertical="center" wrapText="1"/>
      <protection locked="0"/>
    </xf>
    <xf numFmtId="0" fontId="11" fillId="35" borderId="0" xfId="0" applyFont="1" applyFill="1" applyBorder="1" applyAlignment="1" applyProtection="1">
      <alignment horizontal="center" vertical="center" wrapText="1"/>
      <protection locked="0"/>
    </xf>
    <xf numFmtId="0" fontId="0" fillId="35" borderId="20" xfId="0" applyFont="1" applyFill="1" applyBorder="1" applyAlignment="1" applyProtection="1">
      <alignment horizontal="center" vertical="center" wrapText="1"/>
      <protection hidden="1"/>
    </xf>
    <xf numFmtId="0" fontId="0" fillId="35" borderId="14" xfId="0" applyFont="1" applyFill="1" applyBorder="1" applyAlignment="1" applyProtection="1">
      <alignment horizontal="center" vertical="center" wrapText="1"/>
      <protection hidden="1"/>
    </xf>
    <xf numFmtId="0" fontId="0" fillId="35" borderId="14" xfId="0" applyFont="1" applyFill="1" applyBorder="1" applyAlignment="1" applyProtection="1">
      <alignment horizontal="center" vertical="center" wrapText="1"/>
      <protection hidden="1"/>
    </xf>
    <xf numFmtId="0" fontId="0" fillId="35" borderId="49" xfId="0" applyFont="1" applyFill="1" applyBorder="1" applyAlignment="1" applyProtection="1">
      <alignment horizontal="center" vertical="center" wrapText="1"/>
      <protection hidden="1"/>
    </xf>
    <xf numFmtId="0" fontId="0" fillId="35" borderId="49" xfId="0" applyFont="1" applyFill="1" applyBorder="1" applyAlignment="1" applyProtection="1">
      <alignment horizontal="center" vertical="center" wrapText="1"/>
      <protection hidden="1"/>
    </xf>
    <xf numFmtId="0" fontId="0" fillId="35" borderId="37" xfId="0" applyFont="1" applyFill="1" applyBorder="1" applyAlignment="1" applyProtection="1">
      <alignment horizontal="center" vertical="center" wrapText="1"/>
      <protection hidden="1"/>
    </xf>
    <xf numFmtId="0" fontId="0" fillId="35" borderId="74" xfId="0" applyFont="1" applyFill="1" applyBorder="1" applyAlignment="1" applyProtection="1">
      <alignment horizontal="center" vertical="center" wrapText="1"/>
      <protection hidden="1"/>
    </xf>
    <xf numFmtId="0" fontId="0" fillId="35" borderId="23" xfId="0" applyFont="1" applyFill="1" applyBorder="1" applyAlignment="1" applyProtection="1">
      <alignment horizontal="center" vertical="center" wrapText="1"/>
      <protection locked="0"/>
    </xf>
    <xf numFmtId="0" fontId="26" fillId="35" borderId="31" xfId="0" applyFont="1" applyFill="1" applyBorder="1" applyAlignment="1" applyProtection="1">
      <alignment horizontal="center" vertical="center" wrapText="1"/>
      <protection hidden="1"/>
    </xf>
    <xf numFmtId="0" fontId="0" fillId="35" borderId="0" xfId="0" applyFont="1" applyFill="1" applyBorder="1" applyAlignment="1" applyProtection="1">
      <alignment horizontal="center" vertical="center" wrapText="1"/>
      <protection locked="0"/>
    </xf>
    <xf numFmtId="0" fontId="4" fillId="35" borderId="83" xfId="0" applyFont="1" applyFill="1" applyBorder="1" applyAlignment="1" applyProtection="1">
      <alignment horizontal="center" vertical="center" wrapText="1"/>
      <protection hidden="1"/>
    </xf>
    <xf numFmtId="49" fontId="4" fillId="35" borderId="76" xfId="0" applyNumberFormat="1" applyFont="1" applyFill="1" applyBorder="1" applyAlignment="1" applyProtection="1">
      <alignment horizontal="center" vertical="center" wrapText="1"/>
      <protection locked="0"/>
    </xf>
    <xf numFmtId="0" fontId="0" fillId="35" borderId="76" xfId="0" applyFont="1" applyFill="1" applyBorder="1" applyAlignment="1" applyProtection="1">
      <alignment horizontal="center" vertical="center" wrapText="1"/>
      <protection locked="0"/>
    </xf>
    <xf numFmtId="0" fontId="15" fillId="35" borderId="76" xfId="55" applyFont="1" applyFill="1" applyBorder="1" applyAlignment="1" applyProtection="1" quotePrefix="1">
      <alignment horizontal="center" vertical="center" wrapText="1"/>
      <protection locked="0"/>
    </xf>
    <xf numFmtId="0" fontId="0" fillId="35" borderId="76" xfId="0" applyFont="1" applyFill="1" applyBorder="1" applyAlignment="1" applyProtection="1">
      <alignment vertical="center" wrapText="1"/>
      <protection locked="0"/>
    </xf>
    <xf numFmtId="43" fontId="0" fillId="35" borderId="84" xfId="45" applyFont="1" applyFill="1" applyBorder="1" applyAlignment="1" applyProtection="1">
      <alignment vertical="center" wrapText="1"/>
      <protection locked="0"/>
    </xf>
    <xf numFmtId="43" fontId="0" fillId="35" borderId="76" xfId="45" applyFont="1" applyFill="1" applyBorder="1" applyAlignment="1" applyProtection="1">
      <alignment vertical="center" wrapText="1"/>
      <protection locked="0"/>
    </xf>
    <xf numFmtId="43" fontId="0" fillId="35" borderId="85" xfId="45" applyFont="1" applyFill="1" applyBorder="1" applyAlignment="1" applyProtection="1">
      <alignment vertical="center" wrapText="1"/>
      <protection locked="0"/>
    </xf>
    <xf numFmtId="43" fontId="0" fillId="35" borderId="86" xfId="45" applyFont="1" applyFill="1" applyBorder="1" applyAlignment="1" applyProtection="1">
      <alignment vertical="center" wrapText="1"/>
      <protection locked="0"/>
    </xf>
    <xf numFmtId="0" fontId="0" fillId="35" borderId="0" xfId="0" applyFont="1" applyFill="1" applyBorder="1" applyAlignment="1" applyProtection="1">
      <alignment vertical="center" wrapText="1"/>
      <protection locked="0"/>
    </xf>
    <xf numFmtId="0" fontId="26" fillId="35" borderId="76" xfId="0" applyFont="1" applyFill="1" applyBorder="1" applyAlignment="1" applyProtection="1">
      <alignment horizontal="center" vertical="center" wrapText="1"/>
      <protection locked="0"/>
    </xf>
    <xf numFmtId="0" fontId="4" fillId="35" borderId="87" xfId="0" applyFont="1" applyFill="1" applyBorder="1" applyAlignment="1" applyProtection="1">
      <alignment horizontal="center" vertical="center" wrapText="1"/>
      <protection hidden="1"/>
    </xf>
    <xf numFmtId="49" fontId="4" fillId="35" borderId="77" xfId="0" applyNumberFormat="1" applyFont="1" applyFill="1" applyBorder="1" applyAlignment="1" applyProtection="1">
      <alignment horizontal="center" vertical="center" wrapText="1"/>
      <protection locked="0"/>
    </xf>
    <xf numFmtId="0" fontId="0" fillId="35" borderId="77" xfId="0" applyFont="1" applyFill="1" applyBorder="1" applyAlignment="1" applyProtection="1">
      <alignment horizontal="center" vertical="center" wrapText="1"/>
      <protection locked="0"/>
    </xf>
    <xf numFmtId="0" fontId="15" fillId="35" borderId="77" xfId="55" applyFont="1" applyFill="1" applyBorder="1" applyAlignment="1" applyProtection="1" quotePrefix="1">
      <alignment horizontal="center" vertical="center" wrapText="1"/>
      <protection locked="0"/>
    </xf>
    <xf numFmtId="43" fontId="0" fillId="35" borderId="88" xfId="45" applyFont="1" applyFill="1" applyBorder="1" applyAlignment="1" applyProtection="1">
      <alignment vertical="center" wrapText="1"/>
      <protection locked="0"/>
    </xf>
    <xf numFmtId="43" fontId="0" fillId="35" borderId="77" xfId="45" applyFont="1" applyFill="1" applyBorder="1" applyAlignment="1" applyProtection="1">
      <alignment vertical="center" wrapText="1"/>
      <protection locked="0"/>
    </xf>
    <xf numFmtId="43" fontId="0" fillId="35" borderId="89" xfId="45" applyFont="1" applyFill="1" applyBorder="1" applyAlignment="1" applyProtection="1">
      <alignment vertical="center" wrapText="1"/>
      <protection locked="0"/>
    </xf>
    <xf numFmtId="43" fontId="0" fillId="35" borderId="90" xfId="45" applyFont="1" applyFill="1" applyBorder="1" applyAlignment="1" applyProtection="1">
      <alignment vertical="center" wrapText="1"/>
      <protection locked="0"/>
    </xf>
    <xf numFmtId="0" fontId="0" fillId="35" borderId="77" xfId="0" applyFont="1" applyFill="1" applyBorder="1" applyAlignment="1" applyProtection="1">
      <alignment vertical="center" wrapText="1"/>
      <protection locked="0"/>
    </xf>
    <xf numFmtId="43" fontId="0" fillId="35" borderId="88" xfId="45" applyFont="1" applyFill="1" applyBorder="1" applyAlignment="1" applyProtection="1">
      <alignment vertical="center" wrapText="1"/>
      <protection locked="0"/>
    </xf>
    <xf numFmtId="43" fontId="4" fillId="35" borderId="91" xfId="45" applyFont="1" applyFill="1" applyBorder="1" applyAlignment="1" applyProtection="1">
      <alignment vertical="center" wrapText="1"/>
      <protection locked="0"/>
    </xf>
    <xf numFmtId="43" fontId="4" fillId="35" borderId="55" xfId="45" applyFont="1" applyFill="1" applyBorder="1" applyAlignment="1" applyProtection="1">
      <alignment vertical="center" wrapText="1"/>
      <protection locked="0"/>
    </xf>
    <xf numFmtId="43" fontId="4" fillId="35" borderId="82" xfId="45" applyFont="1" applyFill="1" applyBorder="1" applyAlignment="1" applyProtection="1">
      <alignment vertical="center" wrapText="1"/>
      <protection locked="0"/>
    </xf>
    <xf numFmtId="43" fontId="4" fillId="35" borderId="45" xfId="45" applyFont="1" applyFill="1" applyBorder="1" applyAlignment="1" applyProtection="1">
      <alignment vertical="center" wrapText="1"/>
      <protection locked="0"/>
    </xf>
    <xf numFmtId="0" fontId="0" fillId="35" borderId="77" xfId="0" applyFont="1" applyFill="1" applyBorder="1" applyAlignment="1" applyProtection="1">
      <alignment horizontal="center" vertical="center" wrapText="1"/>
      <protection locked="0"/>
    </xf>
    <xf numFmtId="43" fontId="3" fillId="35" borderId="55" xfId="45" applyFont="1" applyFill="1" applyBorder="1" applyAlignment="1" applyProtection="1">
      <alignment vertical="center" wrapText="1"/>
      <protection hidden="1"/>
    </xf>
    <xf numFmtId="43" fontId="3" fillId="35" borderId="82" xfId="45" applyFont="1" applyFill="1" applyBorder="1" applyAlignment="1" applyProtection="1">
      <alignment vertical="center" wrapText="1"/>
      <protection hidden="1"/>
    </xf>
    <xf numFmtId="43" fontId="3" fillId="35" borderId="45" xfId="45" applyFont="1" applyFill="1" applyBorder="1" applyAlignment="1" applyProtection="1">
      <alignment vertical="center" wrapText="1"/>
      <protection hidden="1"/>
    </xf>
    <xf numFmtId="0" fontId="3" fillId="35" borderId="0" xfId="0" applyFont="1" applyFill="1" applyBorder="1" applyAlignment="1" applyProtection="1">
      <alignment vertical="center" wrapText="1"/>
      <protection hidden="1"/>
    </xf>
    <xf numFmtId="0" fontId="0" fillId="35" borderId="92" xfId="0" applyFont="1" applyFill="1" applyBorder="1" applyAlignment="1" applyProtection="1">
      <alignment horizontal="center" vertical="center" wrapText="1"/>
      <protection hidden="1"/>
    </xf>
    <xf numFmtId="0" fontId="0" fillId="35" borderId="93" xfId="0" applyFont="1" applyFill="1" applyBorder="1" applyAlignment="1" applyProtection="1">
      <alignment horizontal="center" vertical="center" wrapText="1"/>
      <protection hidden="1"/>
    </xf>
    <xf numFmtId="0" fontId="0" fillId="35" borderId="94" xfId="0" applyFont="1" applyFill="1" applyBorder="1" applyAlignment="1" applyProtection="1">
      <alignment horizontal="center" vertical="center" wrapText="1"/>
      <protection hidden="1"/>
    </xf>
    <xf numFmtId="0" fontId="0" fillId="35" borderId="71" xfId="0" applyFont="1" applyFill="1" applyBorder="1" applyAlignment="1" applyProtection="1">
      <alignment horizontal="center" vertical="center" wrapText="1"/>
      <protection hidden="1"/>
    </xf>
    <xf numFmtId="0" fontId="0" fillId="35" borderId="0" xfId="0" applyFont="1" applyFill="1" applyBorder="1" applyAlignment="1" applyProtection="1">
      <alignment horizontal="center" vertical="center" wrapText="1"/>
      <protection hidden="1"/>
    </xf>
    <xf numFmtId="0" fontId="0" fillId="35" borderId="76" xfId="0" applyFont="1" applyFill="1" applyBorder="1" applyAlignment="1" applyProtection="1" quotePrefix="1">
      <alignment horizontal="center" vertical="center" wrapText="1"/>
      <protection locked="0"/>
    </xf>
    <xf numFmtId="0" fontId="0" fillId="35" borderId="76" xfId="0" applyFont="1" applyFill="1" applyBorder="1" applyAlignment="1" applyProtection="1">
      <alignment vertical="center" wrapText="1"/>
      <protection locked="0"/>
    </xf>
    <xf numFmtId="43" fontId="0" fillId="35" borderId="84" xfId="45" applyFont="1" applyFill="1" applyBorder="1" applyAlignment="1" applyProtection="1">
      <alignment vertical="center" wrapText="1"/>
      <protection locked="0"/>
    </xf>
    <xf numFmtId="43" fontId="0" fillId="35" borderId="69" xfId="45" applyFont="1" applyFill="1" applyBorder="1" applyAlignment="1" applyProtection="1">
      <alignment vertical="center" wrapText="1"/>
      <protection locked="0"/>
    </xf>
    <xf numFmtId="0" fontId="0" fillId="35" borderId="77" xfId="0" applyFont="1" applyFill="1" applyBorder="1" applyAlignment="1" applyProtection="1" quotePrefix="1">
      <alignment horizontal="center" vertical="center" wrapText="1"/>
      <protection locked="0"/>
    </xf>
    <xf numFmtId="43" fontId="0" fillId="35" borderId="77" xfId="45" applyFont="1" applyFill="1" applyBorder="1" applyAlignment="1" applyProtection="1">
      <alignment vertical="center" wrapText="1"/>
      <protection locked="0"/>
    </xf>
    <xf numFmtId="43" fontId="0" fillId="35" borderId="89" xfId="45" applyFont="1" applyFill="1" applyBorder="1" applyAlignment="1" applyProtection="1">
      <alignment vertical="center" wrapText="1"/>
      <protection locked="0"/>
    </xf>
    <xf numFmtId="0" fontId="0" fillId="35" borderId="44" xfId="0" applyFont="1" applyFill="1" applyBorder="1" applyAlignment="1" applyProtection="1">
      <alignment horizontal="center" vertical="center" wrapText="1"/>
      <protection hidden="1"/>
    </xf>
    <xf numFmtId="0" fontId="0" fillId="35" borderId="95" xfId="0" applyFont="1" applyFill="1" applyBorder="1" applyAlignment="1" applyProtection="1">
      <alignment horizontal="center" vertical="center" wrapText="1"/>
      <protection hidden="1"/>
    </xf>
    <xf numFmtId="0" fontId="0" fillId="35" borderId="95" xfId="0" applyFont="1" applyFill="1" applyBorder="1" applyAlignment="1" applyProtection="1">
      <alignment horizontal="center" vertical="center" wrapText="1"/>
      <protection hidden="1"/>
    </xf>
    <xf numFmtId="0" fontId="0" fillId="35" borderId="91" xfId="0" applyFont="1" applyFill="1" applyBorder="1" applyAlignment="1" applyProtection="1">
      <alignment horizontal="center" vertical="center" wrapText="1"/>
      <protection hidden="1"/>
    </xf>
    <xf numFmtId="0" fontId="0" fillId="35" borderId="96" xfId="0" applyFont="1" applyFill="1" applyBorder="1" applyAlignment="1" applyProtection="1">
      <alignment horizontal="center" vertical="center" wrapText="1"/>
      <protection hidden="1"/>
    </xf>
    <xf numFmtId="0" fontId="0" fillId="35" borderId="97" xfId="0" applyFont="1" applyFill="1" applyBorder="1" applyAlignment="1" applyProtection="1">
      <alignment horizontal="center" vertical="center" wrapText="1"/>
      <protection hidden="1"/>
    </xf>
    <xf numFmtId="0" fontId="0" fillId="35" borderId="98" xfId="0" applyFont="1" applyFill="1" applyBorder="1" applyAlignment="1" applyProtection="1">
      <alignment horizontal="center" vertical="center" wrapText="1"/>
      <protection hidden="1"/>
    </xf>
    <xf numFmtId="0" fontId="4" fillId="35" borderId="99" xfId="0" applyFont="1" applyFill="1" applyBorder="1" applyAlignment="1" applyProtection="1">
      <alignment horizontal="center" vertical="center" wrapText="1"/>
      <protection hidden="1"/>
    </xf>
    <xf numFmtId="49" fontId="4" fillId="35" borderId="100" xfId="0" applyNumberFormat="1" applyFont="1" applyFill="1" applyBorder="1" applyAlignment="1" applyProtection="1">
      <alignment horizontal="center" vertical="center" wrapText="1"/>
      <protection locked="0"/>
    </xf>
    <xf numFmtId="0" fontId="0" fillId="35" borderId="100" xfId="0" applyFont="1" applyFill="1" applyBorder="1" applyAlignment="1" applyProtection="1">
      <alignment horizontal="center" vertical="center" wrapText="1"/>
      <protection locked="0"/>
    </xf>
    <xf numFmtId="0" fontId="0" fillId="35" borderId="100" xfId="0" applyFont="1" applyFill="1" applyBorder="1" applyAlignment="1" applyProtection="1" quotePrefix="1">
      <alignment horizontal="center" vertical="center" wrapText="1"/>
      <protection locked="0"/>
    </xf>
    <xf numFmtId="0" fontId="0" fillId="35" borderId="100" xfId="0" applyFont="1" applyFill="1" applyBorder="1" applyAlignment="1" applyProtection="1">
      <alignment vertical="center" wrapText="1"/>
      <protection locked="0"/>
    </xf>
    <xf numFmtId="43" fontId="0" fillId="35" borderId="101" xfId="45" applyFont="1" applyFill="1" applyBorder="1" applyAlignment="1" applyProtection="1">
      <alignment vertical="center" wrapText="1"/>
      <protection locked="0"/>
    </xf>
    <xf numFmtId="43" fontId="0" fillId="35" borderId="100" xfId="45" applyFont="1" applyFill="1" applyBorder="1" applyAlignment="1" applyProtection="1">
      <alignment vertical="center" wrapText="1"/>
      <protection locked="0"/>
    </xf>
    <xf numFmtId="43" fontId="0" fillId="35" borderId="102" xfId="45" applyFont="1" applyFill="1" applyBorder="1" applyAlignment="1" applyProtection="1">
      <alignment vertical="center" wrapText="1"/>
      <protection locked="0"/>
    </xf>
    <xf numFmtId="43" fontId="0" fillId="35" borderId="103" xfId="45" applyFont="1" applyFill="1" applyBorder="1" applyAlignment="1" applyProtection="1">
      <alignment vertical="center" wrapText="1"/>
      <protection locked="0"/>
    </xf>
    <xf numFmtId="43" fontId="4" fillId="35" borderId="104" xfId="45" applyFont="1" applyFill="1" applyBorder="1" applyAlignment="1" applyProtection="1">
      <alignment vertical="center" wrapText="1"/>
      <protection locked="0"/>
    </xf>
    <xf numFmtId="43" fontId="4" fillId="35" borderId="71" xfId="45" applyFont="1" applyFill="1" applyBorder="1" applyAlignment="1" applyProtection="1">
      <alignment vertical="center" wrapText="1"/>
      <protection locked="0"/>
    </xf>
    <xf numFmtId="0" fontId="4" fillId="35" borderId="0" xfId="0" applyFont="1" applyFill="1" applyBorder="1" applyAlignment="1" applyProtection="1">
      <alignment vertical="center" wrapText="1"/>
      <protection locked="0"/>
    </xf>
    <xf numFmtId="0" fontId="0" fillId="35" borderId="76" xfId="0" applyFont="1" applyFill="1" applyBorder="1" applyAlignment="1" applyProtection="1">
      <alignment horizontal="center" vertical="center" wrapText="1"/>
      <protection locked="0"/>
    </xf>
    <xf numFmtId="43" fontId="0" fillId="35" borderId="105" xfId="45" applyFont="1" applyFill="1" applyBorder="1" applyAlignment="1" applyProtection="1">
      <alignment vertical="center" wrapText="1"/>
      <protection locked="0"/>
    </xf>
    <xf numFmtId="43" fontId="0" fillId="35" borderId="106" xfId="45" applyFont="1" applyFill="1" applyBorder="1" applyAlignment="1" applyProtection="1">
      <alignment vertical="center" wrapText="1"/>
      <protection locked="0"/>
    </xf>
    <xf numFmtId="43" fontId="0" fillId="35" borderId="107" xfId="45" applyFont="1" applyFill="1" applyBorder="1" applyAlignment="1" applyProtection="1">
      <alignment vertical="center" wrapText="1"/>
      <protection locked="0"/>
    </xf>
    <xf numFmtId="0" fontId="4" fillId="35" borderId="108" xfId="0" applyFont="1" applyFill="1" applyBorder="1" applyAlignment="1" applyProtection="1">
      <alignment horizontal="center" vertical="center" wrapText="1"/>
      <protection hidden="1"/>
    </xf>
    <xf numFmtId="49" fontId="4" fillId="35" borderId="109" xfId="0" applyNumberFormat="1" applyFont="1" applyFill="1" applyBorder="1" applyAlignment="1" applyProtection="1">
      <alignment horizontal="center" vertical="center" wrapText="1"/>
      <protection locked="0"/>
    </xf>
    <xf numFmtId="0" fontId="0" fillId="35" borderId="109" xfId="0" applyFont="1" applyFill="1" applyBorder="1" applyAlignment="1" applyProtection="1">
      <alignment horizontal="center" vertical="center" wrapText="1"/>
      <protection locked="0"/>
    </xf>
    <xf numFmtId="0" fontId="0" fillId="35" borderId="109" xfId="0" applyFont="1" applyFill="1" applyBorder="1" applyAlignment="1" applyProtection="1" quotePrefix="1">
      <alignment horizontal="center" vertical="center" wrapText="1"/>
      <protection locked="0"/>
    </xf>
    <xf numFmtId="43" fontId="0" fillId="35" borderId="105" xfId="45" applyFont="1" applyFill="1" applyBorder="1" applyAlignment="1" applyProtection="1">
      <alignment vertical="center" wrapText="1"/>
      <protection locked="0"/>
    </xf>
    <xf numFmtId="43" fontId="0" fillId="35" borderId="0" xfId="45" applyFont="1" applyFill="1" applyBorder="1" applyAlignment="1" applyProtection="1">
      <alignment vertical="center" wrapText="1"/>
      <protection locked="0"/>
    </xf>
    <xf numFmtId="43" fontId="0" fillId="35" borderId="110" xfId="45" applyFont="1" applyFill="1" applyBorder="1" applyAlignment="1" applyProtection="1">
      <alignment vertical="center" wrapText="1"/>
      <protection locked="0"/>
    </xf>
    <xf numFmtId="0" fontId="0" fillId="35" borderId="100" xfId="0" applyFont="1" applyFill="1" applyBorder="1" applyAlignment="1" applyProtection="1">
      <alignment vertical="center" wrapText="1"/>
      <protection locked="0"/>
    </xf>
    <xf numFmtId="43" fontId="0" fillId="35" borderId="101" xfId="45" applyFont="1" applyFill="1" applyBorder="1" applyAlignment="1" applyProtection="1">
      <alignment vertical="center" wrapText="1"/>
      <protection locked="0"/>
    </xf>
    <xf numFmtId="43" fontId="0" fillId="35" borderId="111" xfId="45" applyFont="1" applyFill="1" applyBorder="1" applyAlignment="1" applyProtection="1">
      <alignment vertical="center" wrapText="1"/>
      <protection locked="0"/>
    </xf>
    <xf numFmtId="43" fontId="4" fillId="35" borderId="91" xfId="0" applyNumberFormat="1" applyFont="1" applyFill="1" applyBorder="1" applyAlignment="1" applyProtection="1">
      <alignment vertical="center" wrapText="1"/>
      <protection locked="0"/>
    </xf>
    <xf numFmtId="0" fontId="0" fillId="35" borderId="100" xfId="0" applyFont="1" applyFill="1" applyBorder="1" applyAlignment="1" applyProtection="1">
      <alignment horizontal="center" vertical="center" wrapText="1"/>
      <protection locked="0"/>
    </xf>
    <xf numFmtId="43" fontId="0" fillId="35" borderId="100" xfId="45" applyFont="1" applyFill="1" applyBorder="1" applyAlignment="1" applyProtection="1">
      <alignment vertical="center" wrapText="1"/>
      <protection locked="0"/>
    </xf>
    <xf numFmtId="43" fontId="0" fillId="35" borderId="90" xfId="45" applyFont="1" applyFill="1" applyBorder="1" applyAlignment="1" applyProtection="1">
      <alignment vertical="center" wrapText="1"/>
      <protection locked="0"/>
    </xf>
    <xf numFmtId="43" fontId="3" fillId="35" borderId="71" xfId="45" applyFont="1" applyFill="1" applyBorder="1" applyAlignment="1" applyProtection="1">
      <alignment vertical="center" wrapText="1"/>
      <protection hidden="1"/>
    </xf>
    <xf numFmtId="0" fontId="0" fillId="35" borderId="45" xfId="0" applyFont="1" applyFill="1" applyBorder="1" applyAlignment="1" applyProtection="1">
      <alignment horizontal="center" vertical="center" wrapText="1"/>
      <protection hidden="1"/>
    </xf>
    <xf numFmtId="0" fontId="0" fillId="35" borderId="112" xfId="0" applyFont="1" applyFill="1" applyBorder="1" applyAlignment="1" applyProtection="1">
      <alignment horizontal="center" vertical="center" wrapText="1"/>
      <protection hidden="1"/>
    </xf>
    <xf numFmtId="0" fontId="0" fillId="35" borderId="51" xfId="0" applyFont="1" applyFill="1" applyBorder="1" applyAlignment="1" applyProtection="1">
      <alignment horizontal="center" vertical="center" wrapText="1"/>
      <protection hidden="1"/>
    </xf>
    <xf numFmtId="0" fontId="0" fillId="35" borderId="82" xfId="0" applyFont="1" applyFill="1" applyBorder="1" applyAlignment="1" applyProtection="1">
      <alignment horizontal="center" vertical="center" wrapText="1"/>
      <protection hidden="1"/>
    </xf>
    <xf numFmtId="0" fontId="0" fillId="35" borderId="84" xfId="0" applyFont="1" applyFill="1" applyBorder="1" applyAlignment="1" applyProtection="1">
      <alignment vertical="center" wrapText="1"/>
      <protection locked="0"/>
    </xf>
    <xf numFmtId="43" fontId="0" fillId="35" borderId="76" xfId="45" applyFont="1" applyFill="1" applyBorder="1" applyAlignment="1" applyProtection="1">
      <alignment vertical="center" wrapText="1"/>
      <protection locked="0"/>
    </xf>
    <xf numFmtId="0" fontId="0" fillId="35" borderId="88" xfId="0" applyFont="1" applyFill="1" applyBorder="1" applyAlignment="1" applyProtection="1">
      <alignment vertical="center" wrapText="1"/>
      <protection locked="0"/>
    </xf>
    <xf numFmtId="43" fontId="0" fillId="35" borderId="113" xfId="45" applyFont="1" applyFill="1" applyBorder="1" applyAlignment="1" applyProtection="1">
      <alignment vertical="center" wrapText="1"/>
      <protection locked="0"/>
    </xf>
    <xf numFmtId="0" fontId="0" fillId="35" borderId="101" xfId="0" applyFont="1" applyFill="1" applyBorder="1" applyAlignment="1" applyProtection="1">
      <alignment vertical="center" wrapText="1"/>
      <protection locked="0"/>
    </xf>
    <xf numFmtId="0" fontId="4" fillId="35" borderId="114" xfId="0" applyFont="1" applyFill="1" applyBorder="1" applyAlignment="1" applyProtection="1">
      <alignment horizontal="center" vertical="center" wrapText="1"/>
      <protection hidden="1"/>
    </xf>
    <xf numFmtId="49" fontId="4" fillId="35" borderId="115" xfId="0" applyNumberFormat="1" applyFont="1" applyFill="1" applyBorder="1" applyAlignment="1" applyProtection="1">
      <alignment horizontal="center" vertical="center" wrapText="1"/>
      <protection locked="0"/>
    </xf>
    <xf numFmtId="0" fontId="0" fillId="35" borderId="115" xfId="0" applyFont="1" applyFill="1" applyBorder="1" applyAlignment="1" applyProtection="1">
      <alignment horizontal="center" vertical="center" wrapText="1"/>
      <protection locked="0"/>
    </xf>
    <xf numFmtId="43" fontId="4" fillId="35" borderId="95" xfId="45" applyFont="1" applyFill="1" applyBorder="1" applyAlignment="1" applyProtection="1">
      <alignment vertical="center" wrapText="1"/>
      <protection locked="0"/>
    </xf>
    <xf numFmtId="0" fontId="4" fillId="35" borderId="116" xfId="0" applyFont="1" applyFill="1" applyBorder="1" applyAlignment="1" applyProtection="1">
      <alignment horizontal="center" vertical="center" wrapText="1"/>
      <protection hidden="1"/>
    </xf>
    <xf numFmtId="49" fontId="4" fillId="35" borderId="117" xfId="0" applyNumberFormat="1" applyFont="1" applyFill="1" applyBorder="1" applyAlignment="1" applyProtection="1">
      <alignment horizontal="center" vertical="center" wrapText="1"/>
      <protection locked="0"/>
    </xf>
    <xf numFmtId="0" fontId="0" fillId="35" borderId="117" xfId="0" applyFont="1" applyFill="1" applyBorder="1" applyAlignment="1" applyProtection="1">
      <alignment horizontal="center" vertical="center" wrapText="1"/>
      <protection locked="0"/>
    </xf>
    <xf numFmtId="43" fontId="4" fillId="35" borderId="54" xfId="45" applyFont="1" applyFill="1" applyBorder="1" applyAlignment="1" applyProtection="1">
      <alignment vertical="center" wrapText="1"/>
      <protection locked="0"/>
    </xf>
    <xf numFmtId="43" fontId="4" fillId="35" borderId="62" xfId="45" applyFont="1" applyFill="1" applyBorder="1" applyAlignment="1" applyProtection="1">
      <alignment vertical="center" wrapText="1"/>
      <protection locked="0"/>
    </xf>
    <xf numFmtId="43" fontId="3" fillId="35" borderId="104" xfId="45" applyFont="1" applyFill="1" applyBorder="1" applyAlignment="1" applyProtection="1">
      <alignment vertical="center" wrapText="1"/>
      <protection hidden="1"/>
    </xf>
    <xf numFmtId="0" fontId="3" fillId="35" borderId="61" xfId="0" applyFont="1" applyFill="1" applyBorder="1" applyAlignment="1" applyProtection="1">
      <alignment horizontal="center" vertical="center" wrapText="1"/>
      <protection hidden="1"/>
    </xf>
    <xf numFmtId="0" fontId="3" fillId="35" borderId="118" xfId="0" applyFont="1" applyFill="1" applyBorder="1" applyAlignment="1" applyProtection="1">
      <alignment horizontal="center" vertical="center" wrapText="1"/>
      <protection hidden="1"/>
    </xf>
    <xf numFmtId="43" fontId="3" fillId="35" borderId="118" xfId="45" applyFont="1" applyFill="1" applyBorder="1" applyAlignment="1" applyProtection="1">
      <alignment vertical="center" wrapText="1"/>
      <protection hidden="1"/>
    </xf>
    <xf numFmtId="0" fontId="0" fillId="35" borderId="22" xfId="0" applyFont="1" applyFill="1" applyBorder="1" applyAlignment="1" applyProtection="1">
      <alignment horizontal="center" vertical="center" wrapText="1"/>
      <protection hidden="1"/>
    </xf>
    <xf numFmtId="0" fontId="0" fillId="35" borderId="33" xfId="0" applyFont="1" applyFill="1" applyBorder="1" applyAlignment="1" applyProtection="1">
      <alignment horizontal="center" vertical="center" wrapText="1"/>
      <protection hidden="1"/>
    </xf>
    <xf numFmtId="0" fontId="0" fillId="35" borderId="42" xfId="0" applyFont="1" applyFill="1" applyBorder="1" applyAlignment="1" applyProtection="1">
      <alignment horizontal="center" vertical="center" wrapText="1"/>
      <protection hidden="1"/>
    </xf>
    <xf numFmtId="0" fontId="0" fillId="35" borderId="30" xfId="0" applyFont="1" applyFill="1" applyBorder="1" applyAlignment="1" applyProtection="1">
      <alignment horizontal="center" vertical="center" wrapText="1"/>
      <protection hidden="1"/>
    </xf>
    <xf numFmtId="0" fontId="0" fillId="35" borderId="15" xfId="0" applyFont="1" applyFill="1" applyBorder="1" applyAlignment="1" applyProtection="1">
      <alignment horizontal="center" vertical="center" wrapText="1"/>
      <protection hidden="1"/>
    </xf>
    <xf numFmtId="0" fontId="0" fillId="35" borderId="46" xfId="0" applyFont="1" applyFill="1" applyBorder="1" applyAlignment="1" applyProtection="1">
      <alignment horizontal="center" vertical="center" wrapText="1"/>
      <protection hidden="1"/>
    </xf>
    <xf numFmtId="0" fontId="3" fillId="35" borderId="108" xfId="0" applyFont="1" applyFill="1" applyBorder="1" applyAlignment="1" applyProtection="1">
      <alignment horizontal="center" vertical="center" wrapText="1"/>
      <protection hidden="1"/>
    </xf>
    <xf numFmtId="0" fontId="4" fillId="35" borderId="109" xfId="0" applyFont="1" applyFill="1" applyBorder="1" applyAlignment="1" applyProtection="1">
      <alignment horizontal="center" vertical="center" wrapText="1"/>
      <protection hidden="1"/>
    </xf>
    <xf numFmtId="0" fontId="0" fillId="35" borderId="109" xfId="0" applyFont="1" applyFill="1" applyBorder="1" applyAlignment="1" applyProtection="1">
      <alignment horizontal="center" vertical="center" wrapText="1"/>
      <protection hidden="1"/>
    </xf>
    <xf numFmtId="0" fontId="0" fillId="35" borderId="109" xfId="0" applyFont="1" applyFill="1" applyBorder="1" applyAlignment="1" applyProtection="1">
      <alignment horizontal="left" vertical="center" wrapText="1"/>
      <protection hidden="1"/>
    </xf>
    <xf numFmtId="43" fontId="6" fillId="35" borderId="109" xfId="45" applyFont="1" applyFill="1" applyBorder="1" applyAlignment="1" applyProtection="1">
      <alignment vertical="center" wrapText="1"/>
      <protection hidden="1"/>
    </xf>
    <xf numFmtId="43" fontId="0" fillId="35" borderId="109" xfId="45" applyFont="1" applyFill="1" applyBorder="1" applyAlignment="1" applyProtection="1">
      <alignment vertical="center" wrapText="1"/>
      <protection hidden="1"/>
    </xf>
    <xf numFmtId="43" fontId="0" fillId="35" borderId="105" xfId="45" applyFont="1" applyFill="1" applyBorder="1" applyAlignment="1" applyProtection="1">
      <alignment vertical="center" wrapText="1"/>
      <protection hidden="1"/>
    </xf>
    <xf numFmtId="43" fontId="0" fillId="35" borderId="119" xfId="45" applyFont="1" applyFill="1" applyBorder="1" applyAlignment="1" applyProtection="1">
      <alignment vertical="center" wrapText="1"/>
      <protection hidden="1"/>
    </xf>
    <xf numFmtId="43" fontId="6" fillId="35" borderId="27" xfId="45" applyFont="1" applyFill="1" applyBorder="1" applyAlignment="1" applyProtection="1">
      <alignment vertical="center" wrapText="1"/>
      <protection hidden="1"/>
    </xf>
    <xf numFmtId="43" fontId="6" fillId="35" borderId="120" xfId="45" applyFont="1" applyFill="1" applyBorder="1" applyAlignment="1" applyProtection="1">
      <alignment vertical="center" wrapText="1"/>
      <protection hidden="1"/>
    </xf>
    <xf numFmtId="0" fontId="3" fillId="35" borderId="0" xfId="0" applyFont="1" applyFill="1" applyBorder="1" applyAlignment="1" applyProtection="1">
      <alignment horizontal="center" vertical="center" wrapText="1"/>
      <protection hidden="1"/>
    </xf>
    <xf numFmtId="0" fontId="6" fillId="35" borderId="0" xfId="0" applyFont="1" applyFill="1" applyBorder="1" applyAlignment="1" applyProtection="1">
      <alignment horizontal="left" vertical="center" wrapText="1"/>
      <protection hidden="1"/>
    </xf>
    <xf numFmtId="43" fontId="3" fillId="35" borderId="0" xfId="45" applyFont="1" applyFill="1" applyBorder="1" applyAlignment="1" applyProtection="1">
      <alignment vertical="center" wrapText="1"/>
      <protection hidden="1"/>
    </xf>
    <xf numFmtId="0" fontId="0" fillId="35" borderId="17" xfId="0" applyFont="1" applyFill="1" applyBorder="1" applyAlignment="1" applyProtection="1">
      <alignment horizontal="center" vertical="center" wrapText="1"/>
      <protection hidden="1"/>
    </xf>
    <xf numFmtId="0" fontId="4" fillId="35" borderId="121" xfId="0" applyFont="1" applyFill="1" applyBorder="1" applyAlignment="1" applyProtection="1">
      <alignment horizontal="center" vertical="center" wrapText="1"/>
      <protection hidden="1"/>
    </xf>
    <xf numFmtId="49" fontId="4" fillId="35" borderId="122" xfId="0" applyNumberFormat="1" applyFont="1" applyFill="1" applyBorder="1" applyAlignment="1" applyProtection="1">
      <alignment horizontal="center" vertical="center" wrapText="1"/>
      <protection locked="0"/>
    </xf>
    <xf numFmtId="0" fontId="0" fillId="35" borderId="122" xfId="0" applyFont="1" applyFill="1" applyBorder="1" applyAlignment="1" applyProtection="1">
      <alignment horizontal="center" vertical="center" wrapText="1"/>
      <protection locked="0"/>
    </xf>
    <xf numFmtId="0" fontId="0" fillId="35" borderId="122" xfId="0" applyFont="1" applyFill="1" applyBorder="1" applyAlignment="1" applyProtection="1" quotePrefix="1">
      <alignment horizontal="center" vertical="center" wrapText="1"/>
      <protection locked="0"/>
    </xf>
    <xf numFmtId="0" fontId="0" fillId="35" borderId="122" xfId="0" applyFont="1" applyFill="1" applyBorder="1" applyAlignment="1" applyProtection="1">
      <alignment vertical="center" wrapText="1"/>
      <protection locked="0"/>
    </xf>
    <xf numFmtId="43" fontId="0" fillId="35" borderId="123" xfId="45" applyFont="1" applyFill="1" applyBorder="1" applyAlignment="1" applyProtection="1">
      <alignment vertical="center" wrapText="1"/>
      <protection locked="0"/>
    </xf>
    <xf numFmtId="43" fontId="0" fillId="35" borderId="34" xfId="45" applyFont="1" applyFill="1" applyBorder="1" applyAlignment="1" applyProtection="1">
      <alignment vertical="center" wrapText="1"/>
      <protection locked="0"/>
    </xf>
    <xf numFmtId="43" fontId="4" fillId="35" borderId="82" xfId="45" applyFont="1" applyFill="1" applyBorder="1" applyAlignment="1" applyProtection="1">
      <alignment horizontal="center" vertical="center" wrapText="1"/>
      <protection hidden="1"/>
    </xf>
    <xf numFmtId="43" fontId="4" fillId="35" borderId="45" xfId="45" applyFont="1" applyFill="1" applyBorder="1" applyAlignment="1" applyProtection="1">
      <alignment horizontal="center" vertical="center" wrapText="1"/>
      <protection hidden="1"/>
    </xf>
    <xf numFmtId="0" fontId="4" fillId="35" borderId="0" xfId="0" applyFont="1" applyFill="1" applyBorder="1" applyAlignment="1" applyProtection="1">
      <alignment horizontal="center" vertical="center" wrapText="1"/>
      <protection hidden="1"/>
    </xf>
    <xf numFmtId="0" fontId="0" fillId="35" borderId="18" xfId="0" applyFont="1" applyFill="1" applyBorder="1" applyAlignment="1" applyProtection="1">
      <alignment horizontal="center" vertical="center" wrapText="1"/>
      <protection hidden="1"/>
    </xf>
    <xf numFmtId="0" fontId="0" fillId="35" borderId="109" xfId="0" applyFont="1" applyFill="1" applyBorder="1" applyAlignment="1" applyProtection="1">
      <alignment horizontal="center" vertical="center" wrapText="1"/>
      <protection locked="0"/>
    </xf>
    <xf numFmtId="0" fontId="0" fillId="35" borderId="109" xfId="0" applyFont="1" applyFill="1" applyBorder="1" applyAlignment="1" applyProtection="1">
      <alignment vertical="center" wrapText="1"/>
      <protection locked="0"/>
    </xf>
    <xf numFmtId="43" fontId="0" fillId="35" borderId="27" xfId="45" applyFont="1" applyFill="1" applyBorder="1" applyAlignment="1" applyProtection="1">
      <alignment vertical="center" wrapText="1"/>
      <protection locked="0"/>
    </xf>
    <xf numFmtId="43" fontId="0" fillId="35" borderId="52" xfId="45" applyFont="1" applyFill="1" applyBorder="1" applyAlignment="1" applyProtection="1">
      <alignment vertical="center" wrapText="1"/>
      <protection locked="0"/>
    </xf>
    <xf numFmtId="43" fontId="3" fillId="35" borderId="54" xfId="45" applyFont="1" applyFill="1" applyBorder="1" applyAlignment="1" applyProtection="1">
      <alignment vertical="center" wrapText="1"/>
      <protection locked="0"/>
    </xf>
    <xf numFmtId="43" fontId="3" fillId="35" borderId="118" xfId="45" applyFont="1" applyFill="1" applyBorder="1" applyAlignment="1" applyProtection="1">
      <alignment vertical="center" wrapText="1"/>
      <protection locked="0"/>
    </xf>
    <xf numFmtId="43" fontId="3" fillId="35" borderId="63" xfId="45" applyFont="1" applyFill="1" applyBorder="1" applyAlignment="1" applyProtection="1">
      <alignment vertical="center" wrapText="1"/>
      <protection locked="0"/>
    </xf>
    <xf numFmtId="0" fontId="6" fillId="35" borderId="0" xfId="0" applyFont="1" applyFill="1" applyBorder="1" applyAlignment="1" applyProtection="1">
      <alignment vertical="center" wrapText="1"/>
      <protection locked="0"/>
    </xf>
    <xf numFmtId="0" fontId="0" fillId="35" borderId="76" xfId="0" applyFont="1" applyFill="1" applyBorder="1" applyAlignment="1" applyProtection="1">
      <alignment horizontal="center" vertical="center" wrapText="1"/>
      <protection hidden="1"/>
    </xf>
    <xf numFmtId="0" fontId="0" fillId="35" borderId="77" xfId="0" applyFont="1" applyFill="1" applyBorder="1" applyAlignment="1" applyProtection="1">
      <alignment horizontal="center" vertical="center" wrapText="1"/>
      <protection hidden="1"/>
    </xf>
    <xf numFmtId="0" fontId="0" fillId="35" borderId="77" xfId="0" applyFont="1" applyFill="1" applyBorder="1" applyAlignment="1" applyProtection="1">
      <alignment horizontal="center" vertical="center" wrapText="1"/>
      <protection hidden="1"/>
    </xf>
    <xf numFmtId="43" fontId="4" fillId="35" borderId="95" xfId="0" applyNumberFormat="1" applyFont="1" applyFill="1" applyBorder="1" applyAlignment="1" applyProtection="1">
      <alignment vertical="center" wrapText="1"/>
      <protection locked="0"/>
    </xf>
    <xf numFmtId="0" fontId="0" fillId="35" borderId="76" xfId="0" applyFont="1" applyFill="1" applyBorder="1" applyAlignment="1" applyProtection="1">
      <alignment horizontal="center" vertical="center" wrapText="1"/>
      <protection hidden="1"/>
    </xf>
    <xf numFmtId="0" fontId="0" fillId="35" borderId="100" xfId="0" applyFont="1" applyFill="1" applyBorder="1" applyAlignment="1" applyProtection="1">
      <alignment horizontal="center" vertical="center" wrapText="1"/>
      <protection hidden="1"/>
    </xf>
    <xf numFmtId="43" fontId="4" fillId="35" borderId="55" xfId="45" applyFont="1" applyFill="1" applyBorder="1" applyAlignment="1" applyProtection="1">
      <alignment vertical="center" wrapText="1"/>
      <protection hidden="1"/>
    </xf>
    <xf numFmtId="43" fontId="4" fillId="35" borderId="71" xfId="45" applyFont="1" applyFill="1" applyBorder="1" applyAlignment="1" applyProtection="1">
      <alignment vertical="center" wrapText="1"/>
      <protection hidden="1"/>
    </xf>
    <xf numFmtId="0" fontId="4" fillId="35" borderId="0" xfId="0" applyFont="1" applyFill="1" applyBorder="1" applyAlignment="1" applyProtection="1">
      <alignment vertical="center" wrapText="1"/>
      <protection hidden="1"/>
    </xf>
    <xf numFmtId="0" fontId="3" fillId="35" borderId="23" xfId="0" applyFont="1" applyFill="1" applyBorder="1" applyAlignment="1" applyProtection="1">
      <alignment horizontal="center" vertical="center" wrapText="1"/>
      <protection hidden="1"/>
    </xf>
    <xf numFmtId="0" fontId="11" fillId="35" borderId="0" xfId="0" applyFont="1" applyFill="1" applyBorder="1" applyAlignment="1" applyProtection="1">
      <alignment horizontal="center" vertical="center" wrapText="1"/>
      <protection hidden="1"/>
    </xf>
    <xf numFmtId="43" fontId="5" fillId="35" borderId="124" xfId="45" applyFont="1" applyFill="1" applyBorder="1" applyAlignment="1" applyProtection="1">
      <alignment vertical="center" wrapText="1"/>
      <protection hidden="1"/>
    </xf>
    <xf numFmtId="43" fontId="5" fillId="35" borderId="125" xfId="45" applyFont="1" applyFill="1" applyBorder="1" applyAlignment="1" applyProtection="1">
      <alignment vertical="center" wrapText="1"/>
      <protection hidden="1"/>
    </xf>
    <xf numFmtId="43" fontId="5" fillId="35" borderId="126" xfId="45" applyFont="1" applyFill="1" applyBorder="1" applyAlignment="1" applyProtection="1">
      <alignment vertical="center" wrapText="1"/>
      <protection hidden="1"/>
    </xf>
    <xf numFmtId="0" fontId="3" fillId="35" borderId="23" xfId="0" applyFont="1" applyFill="1" applyBorder="1" applyAlignment="1" applyProtection="1">
      <alignment vertical="center" wrapText="1"/>
      <protection hidden="1"/>
    </xf>
    <xf numFmtId="0" fontId="4" fillId="35" borderId="41" xfId="0" applyFont="1" applyFill="1" applyBorder="1" applyAlignment="1" applyProtection="1">
      <alignment horizontal="right" vertical="center" wrapText="1"/>
      <protection locked="0"/>
    </xf>
    <xf numFmtId="0" fontId="4" fillId="35" borderId="34" xfId="0" applyFont="1" applyFill="1" applyBorder="1" applyAlignment="1" applyProtection="1">
      <alignment vertical="center" wrapText="1"/>
      <protection locked="0"/>
    </xf>
    <xf numFmtId="43" fontId="4" fillId="35" borderId="57" xfId="45" applyFont="1" applyFill="1" applyBorder="1" applyAlignment="1" applyProtection="1">
      <alignment vertical="center" wrapText="1"/>
      <protection locked="0"/>
    </xf>
    <xf numFmtId="43" fontId="4" fillId="35" borderId="23" xfId="45" applyFont="1" applyFill="1" applyBorder="1" applyAlignment="1" applyProtection="1">
      <alignment vertical="center" wrapText="1"/>
      <protection locked="0"/>
    </xf>
    <xf numFmtId="43" fontId="4" fillId="35" borderId="127" xfId="45" applyFont="1" applyFill="1" applyBorder="1" applyAlignment="1" applyProtection="1">
      <alignment vertical="center" wrapText="1"/>
      <protection locked="0"/>
    </xf>
    <xf numFmtId="43" fontId="4" fillId="35" borderId="128" xfId="45" applyFont="1" applyFill="1" applyBorder="1" applyAlignment="1" applyProtection="1">
      <alignment vertical="center" wrapText="1"/>
      <protection locked="0"/>
    </xf>
    <xf numFmtId="43" fontId="4" fillId="35" borderId="0" xfId="45" applyFont="1" applyFill="1" applyBorder="1" applyAlignment="1" applyProtection="1">
      <alignment vertical="center" wrapText="1"/>
      <protection locked="0"/>
    </xf>
    <xf numFmtId="0" fontId="4" fillId="35" borderId="56" xfId="0" applyFont="1" applyFill="1" applyBorder="1" applyAlignment="1" applyProtection="1">
      <alignment horizontal="right" vertical="center" wrapText="1"/>
      <protection locked="0"/>
    </xf>
    <xf numFmtId="0" fontId="4" fillId="35" borderId="82" xfId="0" applyFont="1" applyFill="1" applyBorder="1" applyAlignment="1" applyProtection="1">
      <alignment vertical="center" wrapText="1"/>
      <protection locked="0"/>
    </xf>
    <xf numFmtId="43" fontId="4" fillId="35" borderId="129" xfId="45" applyFont="1" applyFill="1" applyBorder="1" applyAlignment="1" applyProtection="1">
      <alignment vertical="center" wrapText="1"/>
      <protection locked="0"/>
    </xf>
    <xf numFmtId="0" fontId="4" fillId="35" borderId="0" xfId="0" applyFont="1" applyFill="1" applyBorder="1" applyAlignment="1" applyProtection="1">
      <alignment horizontal="center" vertical="center" wrapText="1"/>
      <protection locked="0"/>
    </xf>
    <xf numFmtId="0" fontId="5" fillId="35" borderId="0" xfId="0" applyFont="1" applyFill="1" applyBorder="1" applyAlignment="1" applyProtection="1">
      <alignment horizontal="center" vertical="center" wrapText="1"/>
      <protection locked="0"/>
    </xf>
    <xf numFmtId="0" fontId="31" fillId="35" borderId="0" xfId="0" applyFont="1" applyFill="1" applyBorder="1" applyAlignment="1" applyProtection="1">
      <alignment horizontal="center" vertical="center" wrapText="1"/>
      <protection locked="0"/>
    </xf>
    <xf numFmtId="0" fontId="5" fillId="35" borderId="56" xfId="0" applyFont="1" applyFill="1" applyBorder="1" applyAlignment="1" applyProtection="1">
      <alignment horizontal="right" vertical="center" wrapText="1"/>
      <protection locked="0"/>
    </xf>
    <xf numFmtId="0" fontId="5" fillId="35" borderId="82" xfId="0" applyFont="1" applyFill="1" applyBorder="1" applyAlignment="1" applyProtection="1">
      <alignment vertical="center" wrapText="1"/>
      <protection locked="0"/>
    </xf>
    <xf numFmtId="43" fontId="5" fillId="35" borderId="55" xfId="0" applyNumberFormat="1" applyFont="1" applyFill="1" applyBorder="1" applyAlignment="1" applyProtection="1">
      <alignment vertical="center" wrapText="1"/>
      <protection locked="0"/>
    </xf>
    <xf numFmtId="0" fontId="5" fillId="35" borderId="0" xfId="0" applyFont="1" applyFill="1" applyBorder="1" applyAlignment="1" applyProtection="1">
      <alignment vertical="center" wrapText="1"/>
      <protection locked="0"/>
    </xf>
    <xf numFmtId="43" fontId="5" fillId="35" borderId="23" xfId="0" applyNumberFormat="1" applyFont="1" applyFill="1" applyBorder="1" applyAlignment="1" applyProtection="1">
      <alignment vertical="center" wrapText="1"/>
      <protection locked="0"/>
    </xf>
    <xf numFmtId="43" fontId="5" fillId="35" borderId="129" xfId="0" applyNumberFormat="1" applyFont="1" applyFill="1" applyBorder="1" applyAlignment="1" applyProtection="1">
      <alignment vertical="center" wrapText="1"/>
      <protection locked="0"/>
    </xf>
    <xf numFmtId="43" fontId="5" fillId="35" borderId="71" xfId="0" applyNumberFormat="1" applyFont="1" applyFill="1" applyBorder="1" applyAlignment="1" applyProtection="1">
      <alignment vertical="center" wrapText="1"/>
      <protection locked="0"/>
    </xf>
    <xf numFmtId="43" fontId="5" fillId="35" borderId="0" xfId="0" applyNumberFormat="1" applyFont="1" applyFill="1" applyBorder="1" applyAlignment="1" applyProtection="1">
      <alignment vertical="center" wrapText="1"/>
      <protection locked="0"/>
    </xf>
    <xf numFmtId="0" fontId="10" fillId="35" borderId="0" xfId="0" applyFont="1" applyFill="1" applyBorder="1" applyAlignment="1" applyProtection="1">
      <alignment horizontal="center" vertical="center" wrapText="1"/>
      <protection locked="0"/>
    </xf>
    <xf numFmtId="0" fontId="0" fillId="35" borderId="0" xfId="0" applyFont="1" applyFill="1" applyAlignment="1" applyProtection="1">
      <alignment vertical="center" wrapText="1"/>
      <protection hidden="1"/>
    </xf>
    <xf numFmtId="0" fontId="26" fillId="35" borderId="0" xfId="0" applyFont="1" applyFill="1" applyAlignment="1" applyProtection="1">
      <alignment horizontal="center" vertical="center" wrapText="1"/>
      <protection hidden="1"/>
    </xf>
    <xf numFmtId="0" fontId="0" fillId="35" borderId="0" xfId="0" applyFont="1" applyFill="1" applyBorder="1" applyAlignment="1" applyProtection="1">
      <alignment vertical="center" wrapText="1"/>
      <protection hidden="1"/>
    </xf>
    <xf numFmtId="0" fontId="0" fillId="35" borderId="0" xfId="0" applyFont="1" applyFill="1" applyAlignment="1" applyProtection="1">
      <alignment vertical="center" wrapText="1"/>
      <protection hidden="1"/>
    </xf>
    <xf numFmtId="0" fontId="1" fillId="35" borderId="0" xfId="0" applyFont="1" applyFill="1" applyBorder="1" applyAlignment="1" applyProtection="1">
      <alignment horizontal="center" vertical="center" wrapText="1"/>
      <protection hidden="1"/>
    </xf>
    <xf numFmtId="0" fontId="12" fillId="35" borderId="0" xfId="0" applyFont="1" applyFill="1" applyBorder="1" applyAlignment="1" applyProtection="1">
      <alignment horizontal="center" vertical="center" wrapText="1"/>
      <protection hidden="1"/>
    </xf>
    <xf numFmtId="0" fontId="0" fillId="35" borderId="0" xfId="0" applyFont="1" applyFill="1" applyAlignment="1" applyProtection="1">
      <alignment horizontal="center" vertical="center" wrapText="1"/>
      <protection hidden="1"/>
    </xf>
    <xf numFmtId="0" fontId="4" fillId="35" borderId="0" xfId="0" applyFont="1" applyFill="1" applyAlignment="1" applyProtection="1">
      <alignment vertical="center" wrapText="1"/>
      <protection hidden="1"/>
    </xf>
    <xf numFmtId="0" fontId="4" fillId="35" borderId="76" xfId="0" applyFont="1" applyFill="1" applyBorder="1" applyAlignment="1" applyProtection="1" quotePrefix="1">
      <alignment horizontal="center" vertical="center" wrapText="1"/>
      <protection hidden="1"/>
    </xf>
    <xf numFmtId="0" fontId="4" fillId="35" borderId="76" xfId="0" applyFont="1" applyFill="1" applyBorder="1" applyAlignment="1" applyProtection="1">
      <alignment horizontal="center" vertical="center" wrapText="1"/>
      <protection hidden="1"/>
    </xf>
    <xf numFmtId="0" fontId="0" fillId="35" borderId="84" xfId="0" applyFont="1" applyFill="1" applyBorder="1" applyAlignment="1" applyProtection="1">
      <alignment vertical="center" wrapText="1"/>
      <protection hidden="1"/>
    </xf>
    <xf numFmtId="43" fontId="0" fillId="35" borderId="76" xfId="45" applyFont="1" applyFill="1" applyBorder="1" applyAlignment="1" applyProtection="1">
      <alignment vertical="center" wrapText="1"/>
      <protection hidden="1"/>
    </xf>
    <xf numFmtId="43" fontId="0" fillId="35" borderId="76" xfId="45" applyFont="1" applyFill="1" applyBorder="1" applyAlignment="1" applyProtection="1">
      <alignment vertical="center" wrapText="1"/>
      <protection hidden="1"/>
    </xf>
    <xf numFmtId="43" fontId="0" fillId="35" borderId="84" xfId="45" applyFont="1" applyFill="1" applyBorder="1" applyAlignment="1" applyProtection="1">
      <alignment vertical="center" wrapText="1"/>
      <protection hidden="1"/>
    </xf>
    <xf numFmtId="43" fontId="0" fillId="35" borderId="130" xfId="45" applyFont="1" applyFill="1" applyBorder="1" applyAlignment="1" applyProtection="1">
      <alignment vertical="center" wrapText="1"/>
      <protection hidden="1"/>
    </xf>
    <xf numFmtId="43" fontId="0" fillId="35" borderId="131" xfId="45" applyFont="1" applyFill="1" applyBorder="1" applyAlignment="1" applyProtection="1">
      <alignment vertical="center" wrapText="1"/>
      <protection hidden="1"/>
    </xf>
    <xf numFmtId="43" fontId="0" fillId="35" borderId="85" xfId="45" applyFont="1" applyFill="1" applyBorder="1" applyAlignment="1" applyProtection="1">
      <alignment vertical="center" wrapText="1"/>
      <protection hidden="1"/>
    </xf>
    <xf numFmtId="43" fontId="0" fillId="35" borderId="86" xfId="45" applyFont="1" applyFill="1" applyBorder="1" applyAlignment="1" applyProtection="1">
      <alignment vertical="center" wrapText="1"/>
      <protection hidden="1"/>
    </xf>
    <xf numFmtId="43" fontId="26" fillId="35" borderId="76" xfId="45" applyFont="1" applyFill="1" applyBorder="1" applyAlignment="1" applyProtection="1">
      <alignment horizontal="center" vertical="center" wrapText="1"/>
      <protection hidden="1"/>
    </xf>
    <xf numFmtId="0" fontId="0" fillId="35" borderId="88" xfId="0" applyFont="1" applyFill="1" applyBorder="1" applyAlignment="1" applyProtection="1">
      <alignment vertical="center" wrapText="1"/>
      <protection hidden="1"/>
    </xf>
    <xf numFmtId="0" fontId="4" fillId="35" borderId="77" xfId="0" applyFont="1" applyFill="1" applyBorder="1" applyAlignment="1" applyProtection="1" quotePrefix="1">
      <alignment horizontal="center" vertical="center" wrapText="1"/>
      <protection hidden="1"/>
    </xf>
    <xf numFmtId="0" fontId="0" fillId="35" borderId="77" xfId="0" applyFont="1" applyFill="1" applyBorder="1" applyAlignment="1" applyProtection="1" quotePrefix="1">
      <alignment horizontal="center" vertical="center" wrapText="1"/>
      <protection hidden="1"/>
    </xf>
    <xf numFmtId="43" fontId="0" fillId="35" borderId="77" xfId="45" applyFont="1" applyFill="1" applyBorder="1" applyAlignment="1" applyProtection="1">
      <alignment vertical="center" wrapText="1"/>
      <protection hidden="1"/>
    </xf>
    <xf numFmtId="43" fontId="0" fillId="35" borderId="77" xfId="45" applyFont="1" applyFill="1" applyBorder="1" applyAlignment="1" applyProtection="1">
      <alignment vertical="center" wrapText="1"/>
      <protection hidden="1"/>
    </xf>
    <xf numFmtId="43" fontId="0" fillId="35" borderId="88" xfId="45" applyFont="1" applyFill="1" applyBorder="1" applyAlignment="1" applyProtection="1">
      <alignment vertical="center" wrapText="1"/>
      <protection hidden="1"/>
    </xf>
    <xf numFmtId="43" fontId="0" fillId="35" borderId="89" xfId="45" applyFont="1" applyFill="1" applyBorder="1" applyAlignment="1" applyProtection="1">
      <alignment vertical="center" wrapText="1"/>
      <protection hidden="1"/>
    </xf>
    <xf numFmtId="43" fontId="0" fillId="35" borderId="90" xfId="45" applyFont="1" applyFill="1" applyBorder="1" applyAlignment="1" applyProtection="1">
      <alignment vertical="center" wrapText="1"/>
      <protection hidden="1"/>
    </xf>
    <xf numFmtId="0" fontId="4" fillId="35" borderId="77" xfId="0" applyFont="1" applyFill="1" applyBorder="1" applyAlignment="1" applyProtection="1">
      <alignment horizontal="center" vertical="center" wrapText="1"/>
      <protection hidden="1"/>
    </xf>
    <xf numFmtId="0" fontId="0" fillId="35" borderId="88" xfId="0" applyFont="1" applyFill="1" applyBorder="1" applyAlignment="1" applyProtection="1">
      <alignment vertical="center" wrapText="1"/>
      <protection hidden="1"/>
    </xf>
    <xf numFmtId="0" fontId="4" fillId="35" borderId="100" xfId="0" applyFont="1" applyFill="1" applyBorder="1" applyAlignment="1" applyProtection="1" quotePrefix="1">
      <alignment horizontal="center" vertical="center" wrapText="1"/>
      <protection hidden="1"/>
    </xf>
    <xf numFmtId="0" fontId="0" fillId="35" borderId="100" xfId="0" applyFont="1" applyFill="1" applyBorder="1" applyAlignment="1" applyProtection="1">
      <alignment horizontal="center" vertical="center" wrapText="1"/>
      <protection hidden="1"/>
    </xf>
    <xf numFmtId="0" fontId="4" fillId="35" borderId="100" xfId="0" applyFont="1" applyFill="1" applyBorder="1" applyAlignment="1" applyProtection="1">
      <alignment horizontal="center" vertical="center" wrapText="1"/>
      <protection hidden="1"/>
    </xf>
    <xf numFmtId="43" fontId="0" fillId="35" borderId="100" xfId="45" applyFont="1" applyFill="1" applyBorder="1" applyAlignment="1" applyProtection="1">
      <alignment vertical="center" wrapText="1"/>
      <protection hidden="1"/>
    </xf>
    <xf numFmtId="43" fontId="0" fillId="35" borderId="100" xfId="45" applyFont="1" applyFill="1" applyBorder="1" applyAlignment="1" applyProtection="1">
      <alignment vertical="center" wrapText="1"/>
      <protection hidden="1"/>
    </xf>
    <xf numFmtId="43" fontId="0" fillId="35" borderId="101" xfId="45" applyFont="1" applyFill="1" applyBorder="1" applyAlignment="1" applyProtection="1">
      <alignment vertical="center" wrapText="1"/>
      <protection hidden="1"/>
    </xf>
    <xf numFmtId="43" fontId="0" fillId="35" borderId="102" xfId="45" applyFont="1" applyFill="1" applyBorder="1" applyAlignment="1" applyProtection="1">
      <alignment vertical="center" wrapText="1"/>
      <protection hidden="1"/>
    </xf>
    <xf numFmtId="43" fontId="0" fillId="35" borderId="113" xfId="45" applyFont="1" applyFill="1" applyBorder="1" applyAlignment="1" applyProtection="1">
      <alignment vertical="center" wrapText="1"/>
      <protection hidden="1"/>
    </xf>
    <xf numFmtId="0" fontId="0" fillId="35" borderId="100" xfId="0" applyFont="1" applyFill="1" applyBorder="1" applyAlignment="1" applyProtection="1" quotePrefix="1">
      <alignment horizontal="center" vertical="center" wrapText="1"/>
      <protection hidden="1"/>
    </xf>
    <xf numFmtId="0" fontId="0" fillId="35" borderId="105" xfId="0" applyFont="1" applyFill="1" applyBorder="1" applyAlignment="1" applyProtection="1">
      <alignment vertical="center" wrapText="1"/>
      <protection hidden="1"/>
    </xf>
    <xf numFmtId="43" fontId="0" fillId="35" borderId="132" xfId="45" applyFont="1" applyFill="1" applyBorder="1" applyAlignment="1" applyProtection="1">
      <alignment vertical="center" wrapText="1"/>
      <protection hidden="1"/>
    </xf>
    <xf numFmtId="43" fontId="0" fillId="35" borderId="133" xfId="45" applyFont="1" applyFill="1" applyBorder="1" applyAlignment="1" applyProtection="1">
      <alignment vertical="center" wrapText="1"/>
      <protection hidden="1"/>
    </xf>
    <xf numFmtId="43" fontId="4" fillId="35" borderId="31" xfId="45" applyFont="1" applyFill="1" applyBorder="1" applyAlignment="1" applyProtection="1">
      <alignment vertical="center" wrapText="1"/>
      <protection hidden="1"/>
    </xf>
    <xf numFmtId="43" fontId="4" fillId="35" borderId="31" xfId="0" applyNumberFormat="1" applyFont="1" applyFill="1" applyBorder="1" applyAlignment="1" applyProtection="1">
      <alignment vertical="center" wrapText="1"/>
      <protection hidden="1"/>
    </xf>
    <xf numFmtId="43" fontId="4" fillId="35" borderId="48" xfId="0" applyNumberFormat="1" applyFont="1" applyFill="1" applyBorder="1" applyAlignment="1" applyProtection="1">
      <alignment vertical="center" wrapText="1"/>
      <protection hidden="1"/>
    </xf>
    <xf numFmtId="43" fontId="4" fillId="35" borderId="60" xfId="0" applyNumberFormat="1" applyFont="1" applyFill="1" applyBorder="1" applyAlignment="1" applyProtection="1">
      <alignment vertical="center" wrapText="1"/>
      <protection hidden="1"/>
    </xf>
    <xf numFmtId="0" fontId="0" fillId="35" borderId="101" xfId="0" applyFont="1" applyFill="1" applyBorder="1" applyAlignment="1" applyProtection="1">
      <alignment vertical="center" wrapText="1"/>
      <protection hidden="1"/>
    </xf>
    <xf numFmtId="0" fontId="0" fillId="35" borderId="101" xfId="0" applyFont="1" applyFill="1" applyBorder="1" applyAlignment="1" applyProtection="1">
      <alignment vertical="center" wrapText="1"/>
      <protection hidden="1"/>
    </xf>
    <xf numFmtId="43" fontId="4" fillId="35" borderId="48" xfId="45" applyFont="1" applyFill="1" applyBorder="1" applyAlignment="1" applyProtection="1">
      <alignment vertical="center" wrapText="1"/>
      <protection hidden="1"/>
    </xf>
    <xf numFmtId="43" fontId="4" fillId="35" borderId="60" xfId="45" applyFont="1" applyFill="1" applyBorder="1" applyAlignment="1" applyProtection="1">
      <alignment vertical="center" wrapText="1"/>
      <protection hidden="1"/>
    </xf>
    <xf numFmtId="43" fontId="0" fillId="35" borderId="90" xfId="45" applyFont="1" applyFill="1" applyBorder="1" applyAlignment="1" applyProtection="1">
      <alignment vertical="center" wrapText="1"/>
      <protection hidden="1"/>
    </xf>
    <xf numFmtId="0" fontId="4" fillId="35" borderId="109" xfId="0" applyFont="1" applyFill="1" applyBorder="1" applyAlignment="1" applyProtection="1" quotePrefix="1">
      <alignment horizontal="center" vertical="center" wrapText="1"/>
      <protection hidden="1"/>
    </xf>
    <xf numFmtId="43" fontId="0" fillId="35" borderId="134" xfId="45" applyFont="1" applyFill="1" applyBorder="1" applyAlignment="1" applyProtection="1">
      <alignment vertical="center" wrapText="1"/>
      <protection hidden="1"/>
    </xf>
    <xf numFmtId="43" fontId="0" fillId="35" borderId="135" xfId="45" applyFont="1" applyFill="1" applyBorder="1" applyAlignment="1" applyProtection="1">
      <alignment vertical="center" wrapText="1"/>
      <protection hidden="1"/>
    </xf>
    <xf numFmtId="43" fontId="0" fillId="35" borderId="120" xfId="45" applyFont="1" applyFill="1" applyBorder="1" applyAlignment="1" applyProtection="1">
      <alignment vertical="center" wrapText="1"/>
      <protection hidden="1"/>
    </xf>
    <xf numFmtId="43" fontId="0" fillId="35" borderId="136" xfId="45" applyFont="1" applyFill="1" applyBorder="1" applyAlignment="1" applyProtection="1">
      <alignment vertical="center" wrapText="1"/>
      <protection hidden="1"/>
    </xf>
    <xf numFmtId="43" fontId="0" fillId="35" borderId="105" xfId="45" applyFont="1" applyFill="1" applyBorder="1" applyAlignment="1" applyProtection="1">
      <alignment vertical="center" wrapText="1"/>
      <protection hidden="1"/>
    </xf>
    <xf numFmtId="0" fontId="0" fillId="35" borderId="105" xfId="0" applyFont="1" applyFill="1" applyBorder="1" applyAlignment="1" applyProtection="1">
      <alignment vertical="center" wrapText="1"/>
      <protection hidden="1"/>
    </xf>
    <xf numFmtId="0" fontId="0" fillId="35" borderId="109" xfId="0" applyFont="1" applyFill="1" applyBorder="1" applyAlignment="1" applyProtection="1" quotePrefix="1">
      <alignment horizontal="center" vertical="center" wrapText="1"/>
      <protection hidden="1"/>
    </xf>
    <xf numFmtId="43" fontId="0" fillId="35" borderId="109" xfId="45" applyFont="1" applyFill="1" applyBorder="1" applyAlignment="1" applyProtection="1">
      <alignment vertical="center" wrapText="1"/>
      <protection hidden="1"/>
    </xf>
    <xf numFmtId="43" fontId="0" fillId="35" borderId="0" xfId="45" applyFont="1" applyFill="1" applyBorder="1" applyAlignment="1" applyProtection="1">
      <alignment vertical="center" wrapText="1"/>
      <protection hidden="1"/>
    </xf>
    <xf numFmtId="43" fontId="0" fillId="35" borderId="137" xfId="45" applyFont="1" applyFill="1" applyBorder="1" applyAlignment="1" applyProtection="1">
      <alignment vertical="center" wrapText="1"/>
      <protection hidden="1"/>
    </xf>
    <xf numFmtId="0" fontId="4" fillId="35" borderId="138" xfId="0" applyFont="1" applyFill="1" applyBorder="1" applyAlignment="1" applyProtection="1">
      <alignment horizontal="center" vertical="center" wrapText="1"/>
      <protection hidden="1"/>
    </xf>
    <xf numFmtId="0" fontId="4" fillId="35" borderId="131" xfId="0" applyFont="1" applyFill="1" applyBorder="1" applyAlignment="1" applyProtection="1" quotePrefix="1">
      <alignment horizontal="center" vertical="center" wrapText="1"/>
      <protection hidden="1"/>
    </xf>
    <xf numFmtId="0" fontId="0" fillId="35" borderId="131" xfId="0" applyFont="1" applyFill="1" applyBorder="1" applyAlignment="1" applyProtection="1" quotePrefix="1">
      <alignment horizontal="center" vertical="center" wrapText="1"/>
      <protection hidden="1"/>
    </xf>
    <xf numFmtId="0" fontId="0" fillId="35" borderId="131" xfId="0" applyFont="1" applyFill="1" applyBorder="1" applyAlignment="1" applyProtection="1">
      <alignment horizontal="center" vertical="center" wrapText="1"/>
      <protection hidden="1"/>
    </xf>
    <xf numFmtId="43" fontId="0" fillId="35" borderId="69" xfId="45" applyFont="1" applyFill="1" applyBorder="1" applyAlignment="1" applyProtection="1">
      <alignment vertical="center" wrapText="1"/>
      <protection hidden="1"/>
    </xf>
    <xf numFmtId="0" fontId="0" fillId="35" borderId="109" xfId="0" applyFont="1" applyFill="1" applyBorder="1" applyAlignment="1" applyProtection="1">
      <alignment vertical="center" wrapText="1"/>
      <protection hidden="1"/>
    </xf>
    <xf numFmtId="43" fontId="0" fillId="35" borderId="139" xfId="45" applyFont="1" applyFill="1" applyBorder="1" applyAlignment="1" applyProtection="1">
      <alignment vertical="center" wrapText="1"/>
      <protection hidden="1"/>
    </xf>
    <xf numFmtId="0" fontId="3" fillId="35" borderId="0" xfId="0" applyFont="1" applyFill="1" applyAlignment="1" applyProtection="1">
      <alignment vertical="center" wrapText="1"/>
      <protection hidden="1"/>
    </xf>
    <xf numFmtId="0" fontId="2" fillId="35" borderId="0" xfId="0" applyFont="1" applyFill="1" applyAlignment="1" applyProtection="1">
      <alignment vertical="center" wrapText="1"/>
      <protection hidden="1"/>
    </xf>
    <xf numFmtId="0" fontId="0" fillId="35" borderId="16" xfId="0" applyFont="1" applyFill="1" applyBorder="1" applyAlignment="1" applyProtection="1">
      <alignment horizontal="center" vertical="center" wrapText="1"/>
      <protection hidden="1"/>
    </xf>
    <xf numFmtId="43" fontId="0" fillId="35" borderId="140" xfId="45" applyFont="1" applyFill="1" applyBorder="1" applyAlignment="1" applyProtection="1">
      <alignment vertical="center" wrapText="1"/>
      <protection hidden="1"/>
    </xf>
    <xf numFmtId="43" fontId="4" fillId="35" borderId="40" xfId="45" applyFont="1" applyFill="1" applyBorder="1" applyAlignment="1" applyProtection="1">
      <alignment vertical="center" wrapText="1"/>
      <protection hidden="1"/>
    </xf>
    <xf numFmtId="0" fontId="0" fillId="35" borderId="84" xfId="0" applyFont="1" applyFill="1" applyBorder="1" applyAlignment="1" applyProtection="1">
      <alignment vertical="center" wrapText="1"/>
      <protection hidden="1"/>
    </xf>
    <xf numFmtId="43" fontId="0" fillId="35" borderId="87" xfId="45" applyFont="1" applyFill="1" applyBorder="1" applyAlignment="1" applyProtection="1">
      <alignment vertical="center" wrapText="1"/>
      <protection hidden="1"/>
    </xf>
    <xf numFmtId="0" fontId="0" fillId="35" borderId="130" xfId="0" applyFont="1" applyFill="1" applyBorder="1" applyAlignment="1" applyProtection="1">
      <alignment vertical="center" wrapText="1"/>
      <protection hidden="1"/>
    </xf>
    <xf numFmtId="43" fontId="4" fillId="35" borderId="40" xfId="0" applyNumberFormat="1" applyFont="1" applyFill="1" applyBorder="1" applyAlignment="1" applyProtection="1">
      <alignment vertical="center" wrapText="1"/>
      <protection hidden="1"/>
    </xf>
    <xf numFmtId="43" fontId="4" fillId="35" borderId="141" xfId="45" applyFont="1" applyFill="1" applyBorder="1" applyAlignment="1" applyProtection="1">
      <alignment vertical="center" wrapText="1"/>
      <protection hidden="1"/>
    </xf>
    <xf numFmtId="43" fontId="4" fillId="35" borderId="87" xfId="45" applyFont="1" applyFill="1" applyBorder="1" applyAlignment="1" applyProtection="1">
      <alignment vertical="center" wrapText="1"/>
      <protection hidden="1"/>
    </xf>
    <xf numFmtId="43" fontId="4" fillId="35" borderId="90" xfId="45" applyFont="1" applyFill="1" applyBorder="1" applyAlignment="1" applyProtection="1">
      <alignment vertical="center" wrapText="1"/>
      <protection hidden="1"/>
    </xf>
    <xf numFmtId="0" fontId="0" fillId="35" borderId="77" xfId="0" applyFont="1" applyFill="1" applyBorder="1" applyAlignment="1" applyProtection="1">
      <alignment horizontal="left" vertical="center" wrapText="1"/>
      <protection hidden="1"/>
    </xf>
    <xf numFmtId="43" fontId="0" fillId="35" borderId="142" xfId="45" applyFont="1" applyFill="1" applyBorder="1" applyAlignment="1" applyProtection="1">
      <alignment vertical="center" wrapText="1"/>
      <protection hidden="1"/>
    </xf>
    <xf numFmtId="0" fontId="26" fillId="35" borderId="109" xfId="0" applyFont="1" applyFill="1" applyBorder="1" applyAlignment="1" applyProtection="1">
      <alignment horizontal="center" vertical="center" wrapText="1"/>
      <protection hidden="1"/>
    </xf>
    <xf numFmtId="43" fontId="0" fillId="35" borderId="21" xfId="45" applyFont="1" applyFill="1" applyBorder="1" applyAlignment="1" applyProtection="1">
      <alignment vertical="center" wrapText="1"/>
      <protection hidden="1"/>
    </xf>
    <xf numFmtId="43" fontId="0" fillId="35" borderId="88" xfId="45" applyFont="1" applyFill="1" applyBorder="1" applyAlignment="1" applyProtection="1">
      <alignment vertical="center" wrapText="1"/>
      <protection hidden="1"/>
    </xf>
    <xf numFmtId="43" fontId="0" fillId="35" borderId="90" xfId="45" applyFont="1" applyFill="1" applyBorder="1" applyAlignment="1" applyProtection="1">
      <alignment vertical="center" wrapText="1"/>
      <protection hidden="1"/>
    </xf>
    <xf numFmtId="0" fontId="0" fillId="35" borderId="76" xfId="0" applyFont="1" applyFill="1" applyBorder="1" applyAlignment="1" applyProtection="1">
      <alignment horizontal="left" vertical="center" wrapText="1"/>
      <protection hidden="1"/>
    </xf>
    <xf numFmtId="43" fontId="0" fillId="35" borderId="84" xfId="45" applyFont="1" applyFill="1" applyBorder="1" applyAlignment="1" applyProtection="1">
      <alignment vertical="center" wrapText="1"/>
      <protection hidden="1"/>
    </xf>
    <xf numFmtId="43" fontId="0" fillId="35" borderId="130" xfId="45" applyFont="1" applyFill="1" applyBorder="1" applyAlignment="1" applyProtection="1">
      <alignment vertical="center" wrapText="1"/>
      <protection hidden="1"/>
    </xf>
    <xf numFmtId="43" fontId="0" fillId="35" borderId="85" xfId="45" applyFont="1" applyFill="1" applyBorder="1" applyAlignment="1" applyProtection="1">
      <alignment vertical="center" wrapText="1"/>
      <protection hidden="1"/>
    </xf>
    <xf numFmtId="43" fontId="0" fillId="35" borderId="134" xfId="45" applyFont="1" applyFill="1" applyBorder="1" applyAlignment="1" applyProtection="1">
      <alignment vertical="center" wrapText="1"/>
      <protection hidden="1"/>
    </xf>
    <xf numFmtId="43" fontId="0" fillId="35" borderId="87" xfId="45" applyFont="1" applyFill="1" applyBorder="1" applyAlignment="1" applyProtection="1">
      <alignment vertical="center" wrapText="1"/>
      <protection hidden="1"/>
    </xf>
    <xf numFmtId="43" fontId="0" fillId="35" borderId="0" xfId="45" applyFont="1" applyFill="1" applyBorder="1" applyAlignment="1" applyProtection="1">
      <alignment vertical="center" wrapText="1"/>
      <protection hidden="1"/>
    </xf>
    <xf numFmtId="43" fontId="0" fillId="35" borderId="110" xfId="45" applyFont="1" applyFill="1" applyBorder="1" applyAlignment="1" applyProtection="1">
      <alignment vertical="center" wrapText="1"/>
      <protection hidden="1"/>
    </xf>
    <xf numFmtId="0" fontId="0" fillId="35" borderId="100" xfId="0" applyFont="1" applyFill="1" applyBorder="1" applyAlignment="1" applyProtection="1">
      <alignment horizontal="left" vertical="center" wrapText="1"/>
      <protection hidden="1"/>
    </xf>
    <xf numFmtId="43" fontId="0" fillId="35" borderId="101" xfId="45" applyFont="1" applyFill="1" applyBorder="1" applyAlignment="1" applyProtection="1">
      <alignment vertical="center" wrapText="1"/>
      <protection hidden="1"/>
    </xf>
    <xf numFmtId="43" fontId="0" fillId="35" borderId="133" xfId="45" applyFont="1" applyFill="1" applyBorder="1" applyAlignment="1" applyProtection="1">
      <alignment vertical="center" wrapText="1"/>
      <protection hidden="1"/>
    </xf>
    <xf numFmtId="43" fontId="0" fillId="35" borderId="102" xfId="45" applyFont="1" applyFill="1" applyBorder="1" applyAlignment="1" applyProtection="1">
      <alignment vertical="center" wrapText="1"/>
      <protection hidden="1"/>
    </xf>
    <xf numFmtId="43" fontId="0" fillId="35" borderId="135" xfId="45" applyFont="1" applyFill="1" applyBorder="1" applyAlignment="1" applyProtection="1">
      <alignment vertical="center" wrapText="1"/>
      <protection hidden="1"/>
    </xf>
    <xf numFmtId="0" fontId="1" fillId="35" borderId="23" xfId="0" applyFont="1" applyFill="1" applyBorder="1" applyAlignment="1" applyProtection="1">
      <alignment horizontal="center" vertical="center" wrapText="1"/>
      <protection hidden="1"/>
    </xf>
    <xf numFmtId="0" fontId="0" fillId="35" borderId="143" xfId="0" applyFont="1" applyFill="1" applyBorder="1" applyAlignment="1" applyProtection="1">
      <alignment horizontal="center" vertical="center" wrapText="1"/>
      <protection hidden="1"/>
    </xf>
    <xf numFmtId="0" fontId="4" fillId="35" borderId="17" xfId="0" applyFont="1" applyFill="1" applyBorder="1" applyAlignment="1" applyProtection="1">
      <alignment horizontal="center" vertical="center" wrapText="1"/>
      <protection hidden="1"/>
    </xf>
    <xf numFmtId="0" fontId="0" fillId="35" borderId="83" xfId="0" applyFont="1" applyFill="1" applyBorder="1" applyAlignment="1" applyProtection="1">
      <alignment horizontal="center" vertical="center" wrapText="1"/>
      <protection hidden="1"/>
    </xf>
    <xf numFmtId="43" fontId="0" fillId="35" borderId="144" xfId="45" applyFont="1" applyFill="1" applyBorder="1" applyAlignment="1" applyProtection="1">
      <alignment vertical="center" wrapText="1"/>
      <protection hidden="1"/>
    </xf>
    <xf numFmtId="43" fontId="0" fillId="35" borderId="120" xfId="45" applyFont="1" applyFill="1" applyBorder="1" applyAlignment="1" applyProtection="1">
      <alignment vertical="center" wrapText="1"/>
      <protection hidden="1"/>
    </xf>
    <xf numFmtId="0" fontId="0" fillId="35" borderId="0" xfId="0" applyFont="1" applyFill="1" applyBorder="1" applyAlignment="1" applyProtection="1">
      <alignment vertical="center" wrapText="1"/>
      <protection hidden="1"/>
    </xf>
    <xf numFmtId="43" fontId="0" fillId="35" borderId="145" xfId="45" applyFont="1" applyFill="1" applyBorder="1" applyAlignment="1" applyProtection="1">
      <alignment vertical="center" wrapText="1"/>
      <protection hidden="1"/>
    </xf>
    <xf numFmtId="0" fontId="0" fillId="35" borderId="146" xfId="0" applyFont="1" applyFill="1" applyBorder="1" applyAlignment="1" applyProtection="1">
      <alignment horizontal="center" vertical="center" wrapText="1"/>
      <protection hidden="1"/>
    </xf>
    <xf numFmtId="0" fontId="0" fillId="35" borderId="147" xfId="0" applyFont="1" applyFill="1" applyBorder="1" applyAlignment="1" applyProtection="1">
      <alignment horizontal="center" vertical="center" wrapText="1"/>
      <protection hidden="1"/>
    </xf>
    <xf numFmtId="0" fontId="4" fillId="35" borderId="147" xfId="0" applyFont="1" applyFill="1" applyBorder="1" applyAlignment="1" applyProtection="1">
      <alignment horizontal="center" vertical="center" wrapText="1"/>
      <protection hidden="1"/>
    </xf>
    <xf numFmtId="0" fontId="0" fillId="35" borderId="147" xfId="0" applyFont="1" applyFill="1" applyBorder="1" applyAlignment="1" applyProtection="1">
      <alignment horizontal="left" vertical="center" wrapText="1"/>
      <protection hidden="1"/>
    </xf>
    <xf numFmtId="43" fontId="0" fillId="35" borderId="132" xfId="45" applyFont="1" applyFill="1" applyBorder="1" applyAlignment="1" applyProtection="1">
      <alignment vertical="center" wrapText="1"/>
      <protection hidden="1"/>
    </xf>
    <xf numFmtId="43" fontId="0" fillId="35" borderId="136" xfId="45" applyFont="1" applyFill="1" applyBorder="1" applyAlignment="1" applyProtection="1">
      <alignment vertical="center" wrapText="1"/>
      <protection hidden="1"/>
    </xf>
    <xf numFmtId="43" fontId="3" fillId="35" borderId="148" xfId="45" applyFont="1" applyFill="1" applyBorder="1" applyAlignment="1" applyProtection="1">
      <alignment vertical="center" wrapText="1"/>
      <protection hidden="1"/>
    </xf>
    <xf numFmtId="43" fontId="3" fillId="35" borderId="65" xfId="45" applyFont="1" applyFill="1" applyBorder="1" applyAlignment="1" applyProtection="1">
      <alignment vertical="center" wrapText="1"/>
      <protection hidden="1"/>
    </xf>
    <xf numFmtId="0" fontId="1" fillId="35" borderId="82" xfId="0" applyFont="1" applyFill="1" applyBorder="1" applyAlignment="1" applyProtection="1">
      <alignment horizontal="center" vertical="center" wrapText="1"/>
      <protection hidden="1"/>
    </xf>
    <xf numFmtId="0" fontId="1" fillId="35" borderId="34" xfId="0" applyFont="1" applyFill="1" applyBorder="1" applyAlignment="1" applyProtection="1">
      <alignment horizontal="center" vertical="center" wrapText="1"/>
      <protection hidden="1"/>
    </xf>
    <xf numFmtId="43" fontId="3" fillId="35" borderId="34" xfId="45" applyFont="1" applyFill="1" applyBorder="1" applyAlignment="1" applyProtection="1">
      <alignment vertical="center" wrapText="1"/>
      <protection hidden="1"/>
    </xf>
    <xf numFmtId="0" fontId="4" fillId="35" borderId="14" xfId="0" applyFont="1" applyFill="1" applyBorder="1" applyAlignment="1" applyProtection="1">
      <alignment horizontal="center" vertical="center" wrapText="1"/>
      <protection hidden="1"/>
    </xf>
    <xf numFmtId="43" fontId="4" fillId="35" borderId="12" xfId="45" applyFont="1" applyFill="1" applyBorder="1" applyAlignment="1" applyProtection="1">
      <alignment horizontal="right" vertical="center" wrapText="1"/>
      <protection hidden="1"/>
    </xf>
    <xf numFmtId="43" fontId="4" fillId="35" borderId="58" xfId="45" applyFont="1" applyFill="1" applyBorder="1" applyAlignment="1" applyProtection="1">
      <alignment horizontal="right" vertical="center" wrapText="1"/>
      <protection hidden="1"/>
    </xf>
    <xf numFmtId="43" fontId="4" fillId="35" borderId="53" xfId="45" applyFont="1" applyFill="1" applyBorder="1" applyAlignment="1" applyProtection="1">
      <alignment horizontal="right" vertical="center" wrapText="1"/>
      <protection hidden="1"/>
    </xf>
    <xf numFmtId="43" fontId="4" fillId="35" borderId="52" xfId="45" applyFont="1" applyFill="1" applyBorder="1" applyAlignment="1" applyProtection="1">
      <alignment horizontal="right" vertical="center" wrapText="1"/>
      <protection hidden="1"/>
    </xf>
    <xf numFmtId="43" fontId="4" fillId="35" borderId="24" xfId="45" applyFont="1" applyFill="1" applyBorder="1" applyAlignment="1" applyProtection="1">
      <alignment horizontal="right" vertical="center" wrapText="1"/>
      <protection hidden="1"/>
    </xf>
    <xf numFmtId="43" fontId="3" fillId="35" borderId="44" xfId="45" applyFont="1" applyFill="1" applyBorder="1" applyAlignment="1" applyProtection="1">
      <alignment vertical="center" wrapText="1"/>
      <protection hidden="1"/>
    </xf>
    <xf numFmtId="0" fontId="0" fillId="35" borderId="17" xfId="0" applyFont="1" applyFill="1" applyBorder="1" applyAlignment="1" applyProtection="1">
      <alignment horizontal="center" vertical="center" wrapText="1"/>
      <protection hidden="1"/>
    </xf>
    <xf numFmtId="43" fontId="0" fillId="35" borderId="40" xfId="45" applyFont="1" applyFill="1" applyBorder="1" applyAlignment="1" applyProtection="1">
      <alignment vertical="center" wrapText="1"/>
      <protection hidden="1"/>
    </xf>
    <xf numFmtId="43" fontId="4" fillId="35" borderId="67" xfId="45" applyFont="1" applyFill="1" applyBorder="1" applyAlignment="1" applyProtection="1">
      <alignment vertical="center" wrapText="1"/>
      <protection hidden="1"/>
    </xf>
    <xf numFmtId="43" fontId="3" fillId="35" borderId="64" xfId="45" applyFont="1" applyFill="1" applyBorder="1" applyAlignment="1" applyProtection="1">
      <alignment vertical="center" wrapText="1"/>
      <protection hidden="1"/>
    </xf>
    <xf numFmtId="0" fontId="1" fillId="35" borderId="0" xfId="0" applyFont="1" applyFill="1" applyAlignment="1" applyProtection="1">
      <alignment vertical="center" wrapText="1"/>
      <protection hidden="1"/>
    </xf>
    <xf numFmtId="0" fontId="2" fillId="35" borderId="0" xfId="0" applyFont="1" applyFill="1" applyBorder="1" applyAlignment="1" applyProtection="1">
      <alignment vertical="center" wrapText="1"/>
      <protection hidden="1"/>
    </xf>
    <xf numFmtId="43" fontId="0" fillId="35" borderId="149" xfId="45" applyFont="1" applyFill="1" applyBorder="1" applyAlignment="1" applyProtection="1">
      <alignment vertical="center" wrapText="1"/>
      <protection hidden="1"/>
    </xf>
    <xf numFmtId="0" fontId="6" fillId="35" borderId="23" xfId="0" applyFont="1" applyFill="1" applyBorder="1" applyAlignment="1" applyProtection="1">
      <alignment horizontal="center" vertical="center" wrapText="1"/>
      <protection hidden="1"/>
    </xf>
    <xf numFmtId="0" fontId="6" fillId="35" borderId="0" xfId="0" applyFont="1" applyFill="1" applyBorder="1" applyAlignment="1" applyProtection="1">
      <alignment horizontal="center" vertical="center" wrapText="1"/>
      <protection hidden="1"/>
    </xf>
    <xf numFmtId="0" fontId="6" fillId="35" borderId="0" xfId="0" applyFont="1" applyFill="1" applyBorder="1" applyAlignment="1" applyProtection="1">
      <alignment vertical="center" wrapText="1"/>
      <protection hidden="1"/>
    </xf>
    <xf numFmtId="43" fontId="5" fillId="35" borderId="55" xfId="45" applyFont="1" applyFill="1" applyBorder="1" applyAlignment="1" applyProtection="1">
      <alignment vertical="center" wrapText="1"/>
      <protection hidden="1"/>
    </xf>
    <xf numFmtId="0" fontId="0" fillId="35" borderId="0" xfId="0" applyFont="1" applyFill="1" applyAlignment="1" applyProtection="1">
      <alignment horizontal="center" vertical="center" wrapText="1"/>
      <protection hidden="1"/>
    </xf>
    <xf numFmtId="0" fontId="4" fillId="35" borderId="0" xfId="0" applyFont="1" applyFill="1" applyAlignment="1" applyProtection="1">
      <alignment horizontal="center" vertical="center" wrapText="1"/>
      <protection hidden="1"/>
    </xf>
    <xf numFmtId="0" fontId="12" fillId="35" borderId="0" xfId="0" applyFont="1" applyFill="1" applyAlignment="1" applyProtection="1">
      <alignment horizontal="center" vertical="center" wrapText="1"/>
      <protection hidden="1"/>
    </xf>
    <xf numFmtId="43" fontId="0" fillId="35" borderId="10" xfId="45" applyFont="1" applyFill="1" applyBorder="1" applyAlignment="1">
      <alignment vertical="center"/>
    </xf>
    <xf numFmtId="43" fontId="0" fillId="35" borderId="10" xfId="45" applyFont="1" applyFill="1" applyBorder="1" applyAlignment="1">
      <alignment horizontal="center" vertical="center"/>
    </xf>
    <xf numFmtId="0" fontId="0" fillId="35" borderId="77" xfId="0" applyFont="1" applyFill="1" applyBorder="1" applyAlignment="1" applyProtection="1">
      <alignment vertical="center" wrapText="1"/>
      <protection hidden="1"/>
    </xf>
    <xf numFmtId="0" fontId="1" fillId="0" borderId="0" xfId="0" applyFont="1" applyFill="1" applyBorder="1" applyAlignment="1" applyProtection="1">
      <alignment horizontal="center" vertical="center" wrapText="1"/>
      <protection hidden="1"/>
    </xf>
    <xf numFmtId="0" fontId="0" fillId="0" borderId="14" xfId="0" applyFont="1" applyFill="1" applyBorder="1" applyAlignment="1" applyProtection="1">
      <alignment horizontal="center" vertical="center" wrapText="1"/>
      <protection hidden="1"/>
    </xf>
    <xf numFmtId="43" fontId="0" fillId="0" borderId="76" xfId="45" applyFont="1" applyFill="1" applyBorder="1" applyAlignment="1" applyProtection="1">
      <alignment vertical="center" wrapText="1"/>
      <protection hidden="1"/>
    </xf>
    <xf numFmtId="43" fontId="0" fillId="0" borderId="77" xfId="45" applyFont="1" applyFill="1" applyBorder="1" applyAlignment="1" applyProtection="1">
      <alignment vertical="center" wrapText="1"/>
      <protection hidden="1"/>
    </xf>
    <xf numFmtId="43" fontId="0" fillId="0" borderId="77" xfId="45" applyFont="1" applyFill="1" applyBorder="1" applyAlignment="1" applyProtection="1">
      <alignment vertical="center" wrapText="1"/>
      <protection hidden="1"/>
    </xf>
    <xf numFmtId="43" fontId="0" fillId="0" borderId="100" xfId="45" applyFont="1" applyFill="1" applyBorder="1" applyAlignment="1" applyProtection="1">
      <alignment vertical="center" wrapText="1"/>
      <protection hidden="1"/>
    </xf>
    <xf numFmtId="43" fontId="4" fillId="0" borderId="31" xfId="0" applyNumberFormat="1" applyFont="1" applyFill="1" applyBorder="1" applyAlignment="1" applyProtection="1">
      <alignment vertical="center" wrapText="1"/>
      <protection hidden="1"/>
    </xf>
    <xf numFmtId="43" fontId="0" fillId="0" borderId="76" xfId="45" applyFont="1" applyFill="1" applyBorder="1" applyAlignment="1" applyProtection="1">
      <alignment vertical="center" wrapText="1"/>
      <protection hidden="1"/>
    </xf>
    <xf numFmtId="43" fontId="4" fillId="0" borderId="31" xfId="45" applyFont="1" applyFill="1" applyBorder="1" applyAlignment="1" applyProtection="1">
      <alignment vertical="center" wrapText="1"/>
      <protection hidden="1"/>
    </xf>
    <xf numFmtId="43" fontId="0" fillId="0" borderId="76" xfId="45" applyFont="1" applyFill="1" applyBorder="1" applyAlignment="1" applyProtection="1">
      <alignment vertical="center" wrapText="1"/>
      <protection hidden="1"/>
    </xf>
    <xf numFmtId="43" fontId="0" fillId="0" borderId="100" xfId="45" applyFont="1" applyFill="1" applyBorder="1" applyAlignment="1" applyProtection="1">
      <alignment vertical="center" wrapText="1"/>
      <protection hidden="1"/>
    </xf>
    <xf numFmtId="43" fontId="0" fillId="0" borderId="109" xfId="45" applyFont="1" applyFill="1" applyBorder="1" applyAlignment="1" applyProtection="1">
      <alignment vertical="center" wrapText="1"/>
      <protection hidden="1"/>
    </xf>
    <xf numFmtId="43" fontId="4" fillId="0" borderId="12" xfId="0" applyNumberFormat="1" applyFont="1" applyFill="1" applyBorder="1" applyAlignment="1" applyProtection="1">
      <alignment vertical="center" wrapText="1"/>
      <protection hidden="1"/>
    </xf>
    <xf numFmtId="43" fontId="4" fillId="0" borderId="44" xfId="45" applyFont="1" applyFill="1" applyBorder="1" applyAlignment="1" applyProtection="1">
      <alignment vertical="center" wrapText="1"/>
      <protection hidden="1"/>
    </xf>
    <xf numFmtId="43" fontId="4" fillId="0" borderId="55" xfId="45" applyFont="1" applyFill="1" applyBorder="1" applyAlignment="1" applyProtection="1">
      <alignment vertical="center" wrapText="1"/>
      <protection hidden="1"/>
    </xf>
    <xf numFmtId="43" fontId="0" fillId="0" borderId="100" xfId="45" applyFont="1" applyFill="1" applyBorder="1" applyAlignment="1" applyProtection="1">
      <alignment vertical="center" wrapText="1"/>
      <protection hidden="1"/>
    </xf>
    <xf numFmtId="43" fontId="0" fillId="0" borderId="109" xfId="45" applyFont="1" applyFill="1" applyBorder="1" applyAlignment="1" applyProtection="1">
      <alignment vertical="center" wrapText="1"/>
      <protection hidden="1"/>
    </xf>
    <xf numFmtId="43" fontId="0" fillId="0" borderId="131" xfId="45" applyFont="1" applyFill="1" applyBorder="1" applyAlignment="1" applyProtection="1">
      <alignment vertical="center" wrapText="1"/>
      <protection hidden="1"/>
    </xf>
    <xf numFmtId="43" fontId="4" fillId="0" borderId="55" xfId="0" applyNumberFormat="1" applyFont="1" applyFill="1" applyBorder="1" applyAlignment="1" applyProtection="1">
      <alignment vertical="center" wrapText="1"/>
      <protection hidden="1"/>
    </xf>
    <xf numFmtId="43" fontId="3" fillId="0" borderId="95" xfId="45" applyFont="1" applyFill="1" applyBorder="1" applyAlignment="1" applyProtection="1">
      <alignment vertical="center" wrapText="1"/>
      <protection hidden="1"/>
    </xf>
    <xf numFmtId="0" fontId="0" fillId="0" borderId="14" xfId="0" applyFont="1" applyFill="1" applyBorder="1" applyAlignment="1" applyProtection="1">
      <alignment horizontal="center" vertical="center" wrapText="1"/>
      <protection hidden="1"/>
    </xf>
    <xf numFmtId="43" fontId="4" fillId="0" borderId="141" xfId="45" applyFont="1" applyFill="1" applyBorder="1" applyAlignment="1" applyProtection="1">
      <alignment vertical="center" wrapText="1"/>
      <protection hidden="1"/>
    </xf>
    <xf numFmtId="43" fontId="0" fillId="0" borderId="76" xfId="0" applyNumberFormat="1" applyFont="1" applyFill="1" applyBorder="1" applyAlignment="1" applyProtection="1">
      <alignment vertical="center" wrapText="1"/>
      <protection hidden="1"/>
    </xf>
    <xf numFmtId="43" fontId="0" fillId="0" borderId="109" xfId="0" applyNumberFormat="1" applyFont="1" applyFill="1" applyBorder="1" applyAlignment="1" applyProtection="1">
      <alignment vertical="center" wrapText="1"/>
      <protection hidden="1"/>
    </xf>
    <xf numFmtId="43" fontId="0" fillId="0" borderId="100" xfId="0" applyNumberFormat="1" applyFont="1" applyFill="1" applyBorder="1" applyAlignment="1" applyProtection="1">
      <alignment vertical="center" wrapText="1"/>
      <protection hidden="1"/>
    </xf>
    <xf numFmtId="43" fontId="3" fillId="0" borderId="0" xfId="45" applyFont="1" applyFill="1" applyBorder="1" applyAlignment="1" applyProtection="1">
      <alignment vertical="center" wrapText="1"/>
      <protection hidden="1"/>
    </xf>
    <xf numFmtId="0" fontId="0" fillId="0" borderId="17" xfId="0" applyFont="1" applyFill="1" applyBorder="1" applyAlignment="1" applyProtection="1">
      <alignment horizontal="center" vertical="center" wrapText="1"/>
      <protection hidden="1"/>
    </xf>
    <xf numFmtId="43" fontId="0" fillId="0" borderId="109" xfId="45" applyFont="1" applyFill="1" applyBorder="1" applyAlignment="1" applyProtection="1">
      <alignment vertical="center" wrapText="1"/>
      <protection hidden="1"/>
    </xf>
    <xf numFmtId="43" fontId="3" fillId="0" borderId="34" xfId="45" applyFont="1" applyFill="1" applyBorder="1" applyAlignment="1" applyProtection="1">
      <alignment vertical="center" wrapText="1"/>
      <protection hidden="1"/>
    </xf>
    <xf numFmtId="43" fontId="0" fillId="0" borderId="100" xfId="45" applyFont="1" applyFill="1" applyBorder="1" applyAlignment="1" applyProtection="1">
      <alignment horizontal="right" vertical="center" wrapText="1"/>
      <protection hidden="1"/>
    </xf>
    <xf numFmtId="43" fontId="4" fillId="0" borderId="12" xfId="45" applyFont="1" applyFill="1" applyBorder="1" applyAlignment="1" applyProtection="1">
      <alignment horizontal="right" vertical="center" wrapText="1"/>
      <protection hidden="1"/>
    </xf>
    <xf numFmtId="43" fontId="6" fillId="0" borderId="129" xfId="45" applyFont="1" applyFill="1" applyBorder="1" applyAlignment="1" applyProtection="1">
      <alignment vertical="center" wrapText="1"/>
      <protection hidden="1"/>
    </xf>
    <xf numFmtId="43" fontId="5" fillId="0" borderId="55" xfId="45" applyFont="1" applyFill="1" applyBorder="1" applyAlignment="1" applyProtection="1">
      <alignment vertical="center" wrapText="1"/>
      <protection hidden="1"/>
    </xf>
    <xf numFmtId="43" fontId="0" fillId="0" borderId="0" xfId="45" applyFont="1" applyFill="1" applyAlignment="1" applyProtection="1">
      <alignment vertical="center" wrapText="1"/>
      <protection hidden="1"/>
    </xf>
    <xf numFmtId="0" fontId="0" fillId="0" borderId="0" xfId="0" applyFont="1" applyFill="1" applyAlignment="1" applyProtection="1">
      <alignment vertical="center" wrapText="1"/>
      <protection hidden="1"/>
    </xf>
    <xf numFmtId="0" fontId="4" fillId="35" borderId="150" xfId="0" applyFont="1" applyFill="1" applyBorder="1" applyAlignment="1" applyProtection="1">
      <alignment horizontal="center" vertical="center" wrapText="1"/>
      <protection hidden="1"/>
    </xf>
    <xf numFmtId="0" fontId="4" fillId="35" borderId="151" xfId="0" applyFont="1" applyFill="1" applyBorder="1" applyAlignment="1" applyProtection="1">
      <alignment horizontal="center" vertical="center" wrapText="1"/>
      <protection hidden="1"/>
    </xf>
    <xf numFmtId="0" fontId="0" fillId="35" borderId="151" xfId="0" applyFont="1" applyFill="1" applyBorder="1" applyAlignment="1" applyProtection="1">
      <alignment horizontal="center" vertical="center" wrapText="1"/>
      <protection hidden="1"/>
    </xf>
    <xf numFmtId="0" fontId="0" fillId="35" borderId="152" xfId="0" applyFont="1" applyFill="1" applyBorder="1" applyAlignment="1" applyProtection="1">
      <alignment vertical="center" wrapText="1"/>
      <protection hidden="1"/>
    </xf>
    <xf numFmtId="43" fontId="0" fillId="35" borderId="151" xfId="45" applyFont="1" applyFill="1" applyBorder="1" applyAlignment="1" applyProtection="1">
      <alignment vertical="center" wrapText="1"/>
      <protection hidden="1"/>
    </xf>
    <xf numFmtId="43" fontId="0" fillId="0" borderId="151" xfId="45" applyFont="1" applyFill="1" applyBorder="1" applyAlignment="1" applyProtection="1">
      <alignment vertical="center" wrapText="1"/>
      <protection hidden="1"/>
    </xf>
    <xf numFmtId="43" fontId="0" fillId="35" borderId="151" xfId="45" applyFont="1" applyFill="1" applyBorder="1" applyAlignment="1" applyProtection="1">
      <alignment vertical="center" wrapText="1"/>
      <protection hidden="1"/>
    </xf>
    <xf numFmtId="43" fontId="0" fillId="35" borderId="152" xfId="45" applyFont="1" applyFill="1" applyBorder="1" applyAlignment="1" applyProtection="1">
      <alignment vertical="center" wrapText="1"/>
      <protection hidden="1"/>
    </xf>
    <xf numFmtId="43" fontId="4" fillId="0" borderId="48" xfId="45" applyFont="1" applyFill="1" applyBorder="1" applyAlignment="1" applyProtection="1">
      <alignment vertical="center" wrapText="1"/>
      <protection hidden="1"/>
    </xf>
    <xf numFmtId="43" fontId="4" fillId="0" borderId="153" xfId="45" applyFont="1" applyFill="1" applyBorder="1" applyAlignment="1" applyProtection="1">
      <alignment vertical="center" wrapText="1"/>
      <protection hidden="1"/>
    </xf>
    <xf numFmtId="43" fontId="0" fillId="0" borderId="88" xfId="45" applyFont="1" applyFill="1" applyBorder="1" applyAlignment="1" applyProtection="1">
      <alignment vertical="center" wrapText="1"/>
      <protection locked="0"/>
    </xf>
    <xf numFmtId="43" fontId="0" fillId="0" borderId="77" xfId="45" applyFont="1" applyFill="1" applyBorder="1" applyAlignment="1" applyProtection="1">
      <alignment vertical="center" wrapText="1"/>
      <protection locked="0"/>
    </xf>
    <xf numFmtId="43" fontId="0" fillId="0" borderId="89" xfId="45" applyFont="1" applyFill="1" applyBorder="1" applyAlignment="1" applyProtection="1">
      <alignment vertical="center" wrapText="1"/>
      <protection locked="0"/>
    </xf>
    <xf numFmtId="43" fontId="0" fillId="0" borderId="154" xfId="45" applyFont="1" applyFill="1" applyBorder="1" applyAlignment="1" applyProtection="1">
      <alignment vertical="center" wrapText="1"/>
      <protection locked="0"/>
    </xf>
    <xf numFmtId="0" fontId="0" fillId="0" borderId="0" xfId="0" applyFont="1" applyFill="1" applyAlignment="1" applyProtection="1">
      <alignment vertical="center" wrapText="1"/>
      <protection hidden="1"/>
    </xf>
    <xf numFmtId="43" fontId="0" fillId="0" borderId="88" xfId="45" applyFont="1" applyFill="1" applyBorder="1" applyAlignment="1" applyProtection="1">
      <alignment vertical="center" wrapText="1"/>
      <protection hidden="1"/>
    </xf>
    <xf numFmtId="43" fontId="0" fillId="0" borderId="101" xfId="45" applyFont="1" applyFill="1" applyBorder="1" applyAlignment="1" applyProtection="1">
      <alignment vertical="center" wrapText="1"/>
      <protection hidden="1"/>
    </xf>
    <xf numFmtId="0" fontId="6" fillId="0" borderId="0" xfId="0" applyFont="1" applyFill="1" applyBorder="1" applyAlignment="1" applyProtection="1">
      <alignment vertical="center" wrapText="1"/>
      <protection hidden="1"/>
    </xf>
    <xf numFmtId="43" fontId="0" fillId="0" borderId="89" xfId="45" applyFont="1" applyFill="1" applyBorder="1" applyAlignment="1" applyProtection="1">
      <alignment vertical="center" wrapText="1"/>
      <protection hidden="1"/>
    </xf>
    <xf numFmtId="43" fontId="0" fillId="0" borderId="154" xfId="45" applyFont="1" applyFill="1" applyBorder="1" applyAlignment="1" applyProtection="1">
      <alignment vertical="center" wrapText="1"/>
      <protection hidden="1"/>
    </xf>
    <xf numFmtId="43" fontId="0" fillId="0" borderId="130" xfId="45" applyFont="1" applyFill="1" applyBorder="1" applyAlignment="1" applyProtection="1">
      <alignment vertical="center" wrapText="1"/>
      <protection hidden="1"/>
    </xf>
    <xf numFmtId="43" fontId="0" fillId="0" borderId="85" xfId="45" applyFont="1" applyFill="1" applyBorder="1" applyAlignment="1" applyProtection="1">
      <alignment vertical="center" wrapText="1"/>
      <protection hidden="1"/>
    </xf>
    <xf numFmtId="43" fontId="0" fillId="0" borderId="155" xfId="45" applyFont="1" applyFill="1" applyBorder="1" applyAlignment="1" applyProtection="1">
      <alignment vertical="center" wrapText="1"/>
      <protection hidden="1"/>
    </xf>
    <xf numFmtId="0" fontId="4" fillId="0" borderId="99" xfId="0" applyFont="1" applyFill="1" applyBorder="1" applyAlignment="1" applyProtection="1">
      <alignment horizontal="center" vertical="center" wrapText="1"/>
      <protection hidden="1"/>
    </xf>
    <xf numFmtId="0" fontId="4" fillId="0" borderId="100" xfId="0" applyFont="1" applyFill="1" applyBorder="1" applyAlignment="1" applyProtection="1" quotePrefix="1">
      <alignment horizontal="center" vertical="center" wrapText="1"/>
      <protection hidden="1"/>
    </xf>
    <xf numFmtId="0" fontId="0" fillId="0" borderId="100" xfId="0" applyFont="1" applyFill="1" applyBorder="1" applyAlignment="1" applyProtection="1">
      <alignment horizontal="center" vertical="center" wrapText="1"/>
      <protection hidden="1"/>
    </xf>
    <xf numFmtId="0" fontId="0" fillId="0" borderId="101" xfId="0" applyFont="1" applyFill="1" applyBorder="1" applyAlignment="1" applyProtection="1">
      <alignment vertical="center" wrapText="1"/>
      <protection hidden="1"/>
    </xf>
    <xf numFmtId="43" fontId="0" fillId="0" borderId="156" xfId="45" applyFont="1" applyFill="1" applyBorder="1" applyAlignment="1" applyProtection="1">
      <alignment vertical="center" wrapText="1"/>
      <protection hidden="1"/>
    </xf>
    <xf numFmtId="43" fontId="0" fillId="0" borderId="113" xfId="45" applyFont="1" applyFill="1" applyBorder="1" applyAlignment="1" applyProtection="1">
      <alignment vertical="center" wrapText="1"/>
      <protection hidden="1"/>
    </xf>
    <xf numFmtId="43" fontId="26" fillId="0" borderId="76" xfId="45" applyFont="1" applyFill="1" applyBorder="1" applyAlignment="1" applyProtection="1">
      <alignment horizontal="center" vertical="center" wrapText="1"/>
      <protection hidden="1"/>
    </xf>
    <xf numFmtId="43" fontId="0" fillId="0" borderId="101" xfId="45" applyFont="1" applyFill="1" applyBorder="1" applyAlignment="1" applyProtection="1">
      <alignment vertical="center" wrapText="1"/>
      <protection hidden="1"/>
    </xf>
    <xf numFmtId="43" fontId="0" fillId="0" borderId="102" xfId="45" applyFont="1" applyFill="1" applyBorder="1" applyAlignment="1" applyProtection="1">
      <alignment vertical="center" wrapText="1"/>
      <protection hidden="1"/>
    </xf>
    <xf numFmtId="43" fontId="0" fillId="0" borderId="157" xfId="45" applyFont="1" applyFill="1" applyBorder="1" applyAlignment="1" applyProtection="1">
      <alignment vertical="center" wrapText="1"/>
      <protection hidden="1"/>
    </xf>
    <xf numFmtId="43" fontId="0" fillId="0" borderId="130" xfId="45" applyFont="1" applyFill="1" applyBorder="1" applyAlignment="1" applyProtection="1">
      <alignment vertical="center" wrapText="1"/>
      <protection hidden="1"/>
    </xf>
    <xf numFmtId="43" fontId="0" fillId="0" borderId="85" xfId="45" applyFont="1" applyFill="1" applyBorder="1" applyAlignment="1" applyProtection="1">
      <alignment vertical="center" wrapText="1"/>
      <protection hidden="1"/>
    </xf>
    <xf numFmtId="43" fontId="0" fillId="0" borderId="155" xfId="45" applyFont="1" applyFill="1" applyBorder="1" applyAlignment="1" applyProtection="1">
      <alignment vertical="center" wrapText="1"/>
      <protection hidden="1"/>
    </xf>
    <xf numFmtId="43" fontId="0" fillId="0" borderId="88" xfId="45" applyFont="1" applyFill="1" applyBorder="1" applyAlignment="1" applyProtection="1">
      <alignment vertical="center" wrapText="1"/>
      <protection hidden="1"/>
    </xf>
    <xf numFmtId="43" fontId="0" fillId="0" borderId="89" xfId="45" applyFont="1" applyFill="1" applyBorder="1" applyAlignment="1" applyProtection="1">
      <alignment vertical="center" wrapText="1"/>
      <protection hidden="1"/>
    </xf>
    <xf numFmtId="43" fontId="0" fillId="0" borderId="154" xfId="45" applyFont="1" applyFill="1" applyBorder="1" applyAlignment="1" applyProtection="1">
      <alignment vertical="center" wrapText="1"/>
      <protection hidden="1"/>
    </xf>
    <xf numFmtId="43" fontId="0" fillId="0" borderId="133" xfId="45" applyFont="1" applyFill="1" applyBorder="1" applyAlignment="1" applyProtection="1">
      <alignment vertical="center" wrapText="1"/>
      <protection hidden="1"/>
    </xf>
    <xf numFmtId="43" fontId="0" fillId="0" borderId="102" xfId="45" applyFont="1" applyFill="1" applyBorder="1" applyAlignment="1" applyProtection="1">
      <alignment vertical="center" wrapText="1"/>
      <protection hidden="1"/>
    </xf>
    <xf numFmtId="43" fontId="0" fillId="0" borderId="135" xfId="45" applyFont="1" applyFill="1" applyBorder="1" applyAlignment="1" applyProtection="1">
      <alignment vertical="center" wrapText="1"/>
      <protection hidden="1"/>
    </xf>
    <xf numFmtId="43" fontId="0" fillId="0" borderId="157" xfId="45" applyFont="1" applyFill="1" applyBorder="1" applyAlignment="1" applyProtection="1">
      <alignment vertical="center" wrapText="1"/>
      <protection hidden="1"/>
    </xf>
    <xf numFmtId="43" fontId="3" fillId="35" borderId="158" xfId="45" applyFont="1" applyFill="1" applyBorder="1" applyAlignment="1" applyProtection="1">
      <alignment vertical="center" wrapText="1"/>
      <protection locked="0"/>
    </xf>
    <xf numFmtId="0" fontId="0" fillId="0" borderId="100" xfId="0" applyFont="1" applyFill="1" applyBorder="1" applyAlignment="1" applyProtection="1">
      <alignment horizontal="center" vertical="center" wrapText="1"/>
      <protection locked="0"/>
    </xf>
    <xf numFmtId="0" fontId="4" fillId="0" borderId="151" xfId="0" applyFont="1" applyFill="1" applyBorder="1" applyAlignment="1" applyProtection="1">
      <alignment horizontal="center" vertical="center" wrapText="1"/>
      <protection hidden="1"/>
    </xf>
    <xf numFmtId="0" fontId="0" fillId="0" borderId="77" xfId="0" applyFont="1" applyFill="1" applyBorder="1" applyAlignment="1" applyProtection="1" quotePrefix="1">
      <alignment horizontal="center" vertical="center" wrapText="1"/>
      <protection locked="0"/>
    </xf>
    <xf numFmtId="0" fontId="0" fillId="0" borderId="109" xfId="0" applyFont="1" applyFill="1" applyBorder="1" applyAlignment="1" applyProtection="1" quotePrefix="1">
      <alignment horizontal="center" vertical="center" wrapText="1"/>
      <protection locked="0"/>
    </xf>
    <xf numFmtId="0" fontId="0" fillId="0" borderId="77" xfId="0" applyFont="1" applyFill="1" applyBorder="1" applyAlignment="1" applyProtection="1">
      <alignment horizontal="center" vertical="center" wrapText="1"/>
      <protection locked="0"/>
    </xf>
    <xf numFmtId="0" fontId="13"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3" fillId="0" borderId="55" xfId="0" applyFont="1" applyFill="1" applyBorder="1" applyAlignment="1" applyProtection="1">
      <alignment horizontal="center" vertical="center" wrapText="1"/>
      <protection hidden="1"/>
    </xf>
    <xf numFmtId="0" fontId="0" fillId="0" borderId="159" xfId="0" applyFont="1" applyFill="1" applyBorder="1" applyAlignment="1" applyProtection="1">
      <alignment horizontal="center" vertical="center" wrapText="1"/>
      <protection hidden="1"/>
    </xf>
    <xf numFmtId="43" fontId="0" fillId="0" borderId="155" xfId="45" applyFont="1" applyFill="1" applyBorder="1" applyAlignment="1" applyProtection="1">
      <alignment vertical="center" wrapText="1"/>
      <protection locked="0"/>
    </xf>
    <xf numFmtId="43" fontId="4" fillId="0" borderId="55" xfId="45" applyFont="1" applyFill="1" applyBorder="1" applyAlignment="1" applyProtection="1">
      <alignment vertical="center" wrapText="1"/>
      <protection locked="0"/>
    </xf>
    <xf numFmtId="43" fontId="0" fillId="0" borderId="160" xfId="45" applyFont="1" applyFill="1" applyBorder="1" applyAlignment="1" applyProtection="1">
      <alignment vertical="center" wrapText="1"/>
      <protection locked="0"/>
    </xf>
    <xf numFmtId="43" fontId="0" fillId="0" borderId="161" xfId="45" applyFont="1" applyFill="1" applyBorder="1" applyAlignment="1" applyProtection="1">
      <alignment vertical="center" wrapText="1"/>
      <protection locked="0"/>
    </xf>
    <xf numFmtId="43" fontId="0" fillId="0" borderId="162" xfId="45" applyFont="1" applyFill="1" applyBorder="1" applyAlignment="1" applyProtection="1">
      <alignment vertical="center" wrapText="1"/>
      <protection locked="0"/>
    </xf>
    <xf numFmtId="43" fontId="0" fillId="0" borderId="157" xfId="45" applyFont="1" applyFill="1" applyBorder="1" applyAlignment="1" applyProtection="1">
      <alignment vertical="center" wrapText="1"/>
      <protection locked="0"/>
    </xf>
    <xf numFmtId="43" fontId="3" fillId="0" borderId="118" xfId="45" applyFont="1" applyFill="1" applyBorder="1" applyAlignment="1" applyProtection="1">
      <alignment vertical="center" wrapText="1"/>
      <protection hidden="1"/>
    </xf>
    <xf numFmtId="0" fontId="0" fillId="0" borderId="163" xfId="0" applyFont="1" applyFill="1" applyBorder="1" applyAlignment="1" applyProtection="1">
      <alignment horizontal="center" vertical="center" wrapText="1"/>
      <protection hidden="1"/>
    </xf>
    <xf numFmtId="43" fontId="4" fillId="0" borderId="162" xfId="45" applyFont="1" applyFill="1" applyBorder="1" applyAlignment="1" applyProtection="1">
      <alignment vertical="center" wrapText="1"/>
      <protection locked="0"/>
    </xf>
    <xf numFmtId="43" fontId="3" fillId="0" borderId="164" xfId="45"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hidden="1"/>
    </xf>
    <xf numFmtId="0" fontId="4"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100" xfId="0" applyFont="1" applyFill="1" applyBorder="1" applyAlignment="1" applyProtection="1" quotePrefix="1">
      <alignment horizontal="center" vertical="center" wrapText="1"/>
      <protection hidden="1"/>
    </xf>
    <xf numFmtId="0" fontId="0" fillId="0" borderId="77" xfId="0" applyFont="1" applyFill="1" applyBorder="1" applyAlignment="1" applyProtection="1" quotePrefix="1">
      <alignment horizontal="center" vertical="center" wrapText="1"/>
      <protection hidden="1"/>
    </xf>
    <xf numFmtId="0" fontId="0" fillId="0" borderId="77" xfId="0" applyFont="1" applyFill="1" applyBorder="1" applyAlignment="1" applyProtection="1">
      <alignment horizontal="center" vertical="center" wrapText="1"/>
      <protection hidden="1"/>
    </xf>
    <xf numFmtId="0" fontId="1" fillId="0" borderId="55" xfId="0" applyFont="1" applyFill="1" applyBorder="1" applyAlignment="1" applyProtection="1">
      <alignment horizontal="center" vertical="center" wrapText="1"/>
      <protection hidden="1"/>
    </xf>
    <xf numFmtId="0" fontId="0" fillId="0" borderId="55" xfId="0" applyFont="1" applyFill="1" applyBorder="1" applyAlignment="1" applyProtection="1">
      <alignment horizontal="center" vertical="center" wrapText="1"/>
      <protection hidden="1"/>
    </xf>
    <xf numFmtId="43" fontId="0" fillId="0" borderId="161" xfId="45" applyFont="1" applyFill="1" applyBorder="1" applyAlignment="1" applyProtection="1">
      <alignment vertical="center" wrapText="1"/>
      <protection hidden="1"/>
    </xf>
    <xf numFmtId="43" fontId="4" fillId="0" borderId="153" xfId="0" applyNumberFormat="1" applyFont="1" applyFill="1" applyBorder="1" applyAlignment="1" applyProtection="1">
      <alignment vertical="center" wrapText="1"/>
      <protection hidden="1"/>
    </xf>
    <xf numFmtId="43" fontId="0" fillId="0" borderId="154" xfId="45" applyFont="1" applyFill="1" applyBorder="1" applyAlignment="1" applyProtection="1">
      <alignment vertical="center" wrapText="1"/>
      <protection hidden="1"/>
    </xf>
    <xf numFmtId="43" fontId="0" fillId="0" borderId="155" xfId="45" applyFont="1" applyFill="1" applyBorder="1" applyAlignment="1" applyProtection="1">
      <alignment vertical="center" wrapText="1"/>
      <protection hidden="1"/>
    </xf>
    <xf numFmtId="43" fontId="0" fillId="0" borderId="162" xfId="45" applyFont="1" applyFill="1" applyBorder="1" applyAlignment="1" applyProtection="1">
      <alignment vertical="center" wrapText="1"/>
      <protection hidden="1"/>
    </xf>
    <xf numFmtId="43" fontId="4" fillId="0" borderId="165" xfId="0" applyNumberFormat="1" applyFont="1" applyFill="1" applyBorder="1" applyAlignment="1" applyProtection="1">
      <alignment vertical="center" wrapText="1"/>
      <protection hidden="1"/>
    </xf>
    <xf numFmtId="43" fontId="4" fillId="0" borderId="166" xfId="0" applyNumberFormat="1" applyFont="1" applyFill="1" applyBorder="1" applyAlignment="1" applyProtection="1">
      <alignment vertical="center" wrapText="1"/>
      <protection hidden="1"/>
    </xf>
    <xf numFmtId="43" fontId="0" fillId="0" borderId="162" xfId="45" applyFont="1" applyFill="1" applyBorder="1" applyAlignment="1" applyProtection="1">
      <alignment vertical="center" wrapText="1"/>
      <protection hidden="1"/>
    </xf>
    <xf numFmtId="43" fontId="0" fillId="0" borderId="167" xfId="45" applyFont="1" applyFill="1" applyBorder="1" applyAlignment="1" applyProtection="1">
      <alignment vertical="center" wrapText="1"/>
      <protection hidden="1"/>
    </xf>
    <xf numFmtId="43" fontId="0" fillId="0" borderId="164" xfId="45" applyFont="1" applyFill="1" applyBorder="1" applyAlignment="1" applyProtection="1">
      <alignment vertical="center" wrapText="1"/>
      <protection hidden="1"/>
    </xf>
    <xf numFmtId="43" fontId="4" fillId="0" borderId="165" xfId="45" applyFont="1" applyFill="1" applyBorder="1" applyAlignment="1" applyProtection="1">
      <alignment vertical="center" wrapText="1"/>
      <protection hidden="1"/>
    </xf>
    <xf numFmtId="43" fontId="0" fillId="0" borderId="159" xfId="45" applyFont="1" applyFill="1" applyBorder="1" applyAlignment="1" applyProtection="1">
      <alignment vertical="center" wrapText="1"/>
      <protection hidden="1"/>
    </xf>
    <xf numFmtId="43" fontId="0" fillId="0" borderId="162" xfId="45" applyFont="1" applyFill="1" applyBorder="1" applyAlignment="1" applyProtection="1">
      <alignment vertical="center" wrapText="1"/>
      <protection hidden="1"/>
    </xf>
    <xf numFmtId="43" fontId="4" fillId="0" borderId="166" xfId="45" applyFont="1" applyFill="1" applyBorder="1" applyAlignment="1" applyProtection="1">
      <alignment vertical="center" wrapText="1"/>
      <protection hidden="1"/>
    </xf>
    <xf numFmtId="43" fontId="0" fillId="0" borderId="163" xfId="45" applyFont="1" applyFill="1" applyBorder="1" applyAlignment="1" applyProtection="1">
      <alignment vertical="center" wrapText="1"/>
      <protection hidden="1"/>
    </xf>
    <xf numFmtId="43" fontId="4" fillId="0" borderId="166" xfId="45" applyFont="1" applyFill="1" applyBorder="1" applyAlignment="1" applyProtection="1">
      <alignment horizontal="right" vertical="center" wrapText="1"/>
      <protection hidden="1"/>
    </xf>
    <xf numFmtId="43" fontId="6" fillId="0" borderId="0" xfId="45" applyFont="1" applyFill="1" applyAlignment="1" applyProtection="1">
      <alignment vertical="center" wrapText="1"/>
      <protection hidden="1"/>
    </xf>
    <xf numFmtId="43" fontId="30" fillId="0" borderId="0" xfId="45" applyFont="1" applyFill="1" applyAlignment="1" applyProtection="1">
      <alignment vertical="center" wrapText="1"/>
      <protection hidden="1"/>
    </xf>
    <xf numFmtId="43" fontId="119" fillId="0" borderId="0" xfId="45" applyFont="1" applyFill="1" applyAlignment="1" applyProtection="1">
      <alignment vertical="center" wrapText="1"/>
      <protection hidden="1"/>
    </xf>
    <xf numFmtId="43" fontId="3" fillId="0" borderId="0" xfId="0" applyNumberFormat="1" applyFont="1" applyFill="1" applyAlignment="1" applyProtection="1">
      <alignment vertical="center" wrapText="1"/>
      <protection hidden="1"/>
    </xf>
    <xf numFmtId="0" fontId="0" fillId="0" borderId="0" xfId="0" applyFont="1" applyFill="1" applyAlignment="1" applyProtection="1">
      <alignment horizontal="center" vertical="center" wrapText="1"/>
      <protection hidden="1"/>
    </xf>
    <xf numFmtId="0" fontId="4" fillId="0" borderId="0" xfId="0" applyFont="1" applyFill="1" applyAlignment="1" applyProtection="1">
      <alignment vertical="center" wrapText="1"/>
      <protection hidden="1"/>
    </xf>
    <xf numFmtId="43" fontId="4" fillId="0" borderId="0" xfId="0" applyNumberFormat="1" applyFont="1" applyFill="1" applyAlignment="1" applyProtection="1">
      <alignment vertical="center" wrapText="1"/>
      <protection hidden="1"/>
    </xf>
    <xf numFmtId="43" fontId="0" fillId="0" borderId="0" xfId="0" applyNumberFormat="1" applyFont="1" applyFill="1" applyAlignment="1" applyProtection="1">
      <alignment vertical="center" wrapText="1"/>
      <protection hidden="1"/>
    </xf>
    <xf numFmtId="0" fontId="2" fillId="0" borderId="0" xfId="0" applyFont="1" applyFill="1" applyAlignment="1" applyProtection="1">
      <alignment vertical="center" wrapText="1"/>
      <protection hidden="1"/>
    </xf>
    <xf numFmtId="165" fontId="3" fillId="0" borderId="0" xfId="0" applyNumberFormat="1" applyFont="1" applyFill="1" applyAlignment="1" applyProtection="1">
      <alignment vertical="center" wrapText="1"/>
      <protection hidden="1"/>
    </xf>
    <xf numFmtId="0" fontId="0" fillId="0" borderId="0" xfId="0" applyFont="1" applyFill="1" applyBorder="1" applyAlignment="1" applyProtection="1">
      <alignment vertical="center" wrapText="1"/>
      <protection hidden="1"/>
    </xf>
    <xf numFmtId="0" fontId="3" fillId="0" borderId="0" xfId="0" applyFont="1" applyFill="1" applyAlignment="1" applyProtection="1">
      <alignment vertical="center" wrapText="1"/>
      <protection hidden="1"/>
    </xf>
    <xf numFmtId="0" fontId="2" fillId="0" borderId="0" xfId="0" applyFont="1" applyFill="1" applyBorder="1" applyAlignment="1" applyProtection="1">
      <alignment vertical="center" wrapText="1"/>
      <protection hidden="1"/>
    </xf>
    <xf numFmtId="43" fontId="2" fillId="0" borderId="0" xfId="0" applyNumberFormat="1" applyFont="1" applyFill="1" applyAlignment="1" applyProtection="1">
      <alignment vertical="center" wrapText="1"/>
      <protection hidden="1"/>
    </xf>
    <xf numFmtId="165" fontId="4" fillId="0" borderId="0" xfId="0" applyNumberFormat="1" applyFont="1" applyFill="1" applyAlignment="1" applyProtection="1">
      <alignment vertical="center" wrapText="1"/>
      <protection hidden="1"/>
    </xf>
    <xf numFmtId="0" fontId="1" fillId="0" borderId="0" xfId="0" applyFont="1" applyFill="1" applyAlignment="1" applyProtection="1">
      <alignment vertical="center" wrapText="1"/>
      <protection hidden="1"/>
    </xf>
    <xf numFmtId="0" fontId="0" fillId="0" borderId="159" xfId="0" applyFont="1" applyFill="1" applyBorder="1" applyAlignment="1" applyProtection="1">
      <alignment horizontal="center" vertical="center" wrapText="1"/>
      <protection hidden="1"/>
    </xf>
    <xf numFmtId="0" fontId="0" fillId="0" borderId="55" xfId="0" applyFont="1" applyFill="1" applyBorder="1" applyAlignment="1" applyProtection="1">
      <alignment horizontal="center" vertical="center" wrapText="1"/>
      <protection hidden="1"/>
    </xf>
    <xf numFmtId="0" fontId="0" fillId="35" borderId="46" xfId="0" applyFont="1" applyFill="1" applyBorder="1" applyAlignment="1" applyProtection="1">
      <alignment horizontal="center" vertical="center" wrapText="1"/>
      <protection hidden="1"/>
    </xf>
    <xf numFmtId="43" fontId="0" fillId="35" borderId="168" xfId="45" applyFont="1" applyFill="1" applyBorder="1" applyAlignment="1" applyProtection="1">
      <alignment vertical="center" wrapText="1"/>
      <protection locked="0"/>
    </xf>
    <xf numFmtId="43" fontId="0" fillId="35" borderId="107" xfId="45" applyFont="1" applyFill="1" applyBorder="1" applyAlignment="1" applyProtection="1">
      <alignment vertical="center" wrapText="1"/>
      <protection hidden="1"/>
    </xf>
    <xf numFmtId="0" fontId="13"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hidden="1"/>
    </xf>
    <xf numFmtId="0" fontId="7" fillId="0" borderId="34" xfId="0" applyFont="1" applyFill="1" applyBorder="1" applyAlignment="1" applyProtection="1">
      <alignment vertical="center" wrapText="1"/>
      <protection hidden="1"/>
    </xf>
    <xf numFmtId="0" fontId="7" fillId="0" borderId="0" xfId="0" applyFont="1" applyFill="1" applyBorder="1" applyAlignment="1" applyProtection="1">
      <alignment horizontal="left" vertical="center" wrapText="1"/>
      <protection hidden="1"/>
    </xf>
    <xf numFmtId="0" fontId="0" fillId="0" borderId="49" xfId="0" applyFont="1" applyFill="1" applyBorder="1" applyAlignment="1" applyProtection="1">
      <alignment horizontal="center" vertical="center" wrapText="1"/>
      <protection hidden="1"/>
    </xf>
    <xf numFmtId="43" fontId="0" fillId="0" borderId="76" xfId="45" applyFont="1" applyFill="1" applyBorder="1" applyAlignment="1" applyProtection="1">
      <alignment vertical="center" wrapText="1"/>
      <protection locked="0"/>
    </xf>
    <xf numFmtId="43" fontId="0" fillId="0" borderId="84" xfId="45" applyFont="1" applyFill="1" applyBorder="1" applyAlignment="1" applyProtection="1">
      <alignment vertical="center" wrapText="1"/>
      <protection locked="0"/>
    </xf>
    <xf numFmtId="43" fontId="0" fillId="0" borderId="88" xfId="45" applyFont="1" applyFill="1" applyBorder="1" applyAlignment="1" applyProtection="1">
      <alignment vertical="center" wrapText="1"/>
      <protection locked="0"/>
    </xf>
    <xf numFmtId="43" fontId="4" fillId="0" borderId="91" xfId="45" applyFont="1" applyFill="1" applyBorder="1" applyAlignment="1" applyProtection="1">
      <alignment vertical="center" wrapText="1"/>
      <protection locked="0"/>
    </xf>
    <xf numFmtId="0" fontId="0" fillId="0" borderId="49" xfId="0" applyFont="1" applyFill="1" applyBorder="1" applyAlignment="1" applyProtection="1">
      <alignment horizontal="center" vertical="center" wrapText="1"/>
      <protection hidden="1"/>
    </xf>
    <xf numFmtId="43" fontId="0" fillId="0" borderId="131" xfId="45" applyFont="1" applyFill="1" applyBorder="1" applyAlignment="1" applyProtection="1">
      <alignment vertical="center" wrapText="1"/>
      <protection locked="0"/>
    </xf>
    <xf numFmtId="43" fontId="0" fillId="0" borderId="130" xfId="45" applyFont="1" applyFill="1" applyBorder="1" applyAlignment="1" applyProtection="1">
      <alignment vertical="center" wrapText="1"/>
      <protection locked="0"/>
    </xf>
    <xf numFmtId="43" fontId="0" fillId="0" borderId="77" xfId="45" applyFont="1" applyFill="1" applyBorder="1" applyAlignment="1" applyProtection="1">
      <alignment vertical="center" wrapText="1"/>
      <protection locked="0"/>
    </xf>
    <xf numFmtId="0" fontId="0" fillId="0" borderId="95" xfId="0" applyFont="1" applyFill="1" applyBorder="1" applyAlignment="1" applyProtection="1">
      <alignment horizontal="center" vertical="center" wrapText="1"/>
      <protection hidden="1"/>
    </xf>
    <xf numFmtId="0" fontId="0" fillId="0" borderId="91" xfId="0" applyFont="1" applyFill="1" applyBorder="1" applyAlignment="1" applyProtection="1">
      <alignment horizontal="center" vertical="center" wrapText="1"/>
      <protection hidden="1"/>
    </xf>
    <xf numFmtId="43" fontId="0" fillId="0" borderId="100" xfId="45" applyFont="1" applyFill="1" applyBorder="1" applyAlignment="1" applyProtection="1">
      <alignment vertical="center" wrapText="1"/>
      <protection locked="0"/>
    </xf>
    <xf numFmtId="43" fontId="0" fillId="0" borderId="101" xfId="45" applyFont="1" applyFill="1" applyBorder="1" applyAlignment="1" applyProtection="1">
      <alignment vertical="center" wrapText="1"/>
      <protection locked="0"/>
    </xf>
    <xf numFmtId="43" fontId="0" fillId="0" borderId="84" xfId="45" applyFont="1" applyFill="1" applyBorder="1" applyAlignment="1" applyProtection="1">
      <alignment vertical="center" wrapText="1"/>
      <protection locked="0"/>
    </xf>
    <xf numFmtId="43" fontId="0" fillId="0" borderId="105" xfId="45" applyFont="1" applyFill="1" applyBorder="1" applyAlignment="1" applyProtection="1">
      <alignment vertical="center" wrapText="1"/>
      <protection locked="0"/>
    </xf>
    <xf numFmtId="43" fontId="0" fillId="0" borderId="105" xfId="45" applyFont="1" applyFill="1" applyBorder="1" applyAlignment="1" applyProtection="1">
      <alignment vertical="center" wrapText="1"/>
      <protection locked="0"/>
    </xf>
    <xf numFmtId="43" fontId="0" fillId="0" borderId="101" xfId="45" applyFont="1" applyFill="1" applyBorder="1" applyAlignment="1" applyProtection="1">
      <alignment vertical="center" wrapText="1"/>
      <protection locked="0"/>
    </xf>
    <xf numFmtId="43" fontId="4" fillId="0" borderId="91" xfId="0" applyNumberFormat="1" applyFont="1" applyFill="1" applyBorder="1" applyAlignment="1" applyProtection="1">
      <alignment vertical="center" wrapText="1"/>
      <protection locked="0"/>
    </xf>
    <xf numFmtId="43" fontId="0" fillId="0" borderId="100" xfId="45" applyFont="1" applyFill="1" applyBorder="1" applyAlignment="1" applyProtection="1">
      <alignment vertical="center" wrapText="1"/>
      <protection locked="0"/>
    </xf>
    <xf numFmtId="43" fontId="4" fillId="0" borderId="95" xfId="45" applyFont="1" applyFill="1" applyBorder="1" applyAlignment="1" applyProtection="1">
      <alignment vertical="center" wrapText="1"/>
      <protection locked="0"/>
    </xf>
    <xf numFmtId="43" fontId="4" fillId="0" borderId="54" xfId="45" applyFont="1" applyFill="1" applyBorder="1" applyAlignment="1" applyProtection="1">
      <alignment vertical="center" wrapText="1"/>
      <protection locked="0"/>
    </xf>
    <xf numFmtId="0" fontId="0" fillId="0" borderId="33" xfId="0" applyFont="1" applyFill="1" applyBorder="1" applyAlignment="1" applyProtection="1">
      <alignment horizontal="center" vertical="center" wrapText="1"/>
      <protection hidden="1"/>
    </xf>
    <xf numFmtId="43" fontId="0" fillId="0" borderId="123" xfId="45" applyFont="1" applyFill="1" applyBorder="1" applyAlignment="1" applyProtection="1">
      <alignment vertical="center" wrapText="1"/>
      <protection locked="0"/>
    </xf>
    <xf numFmtId="43" fontId="0" fillId="0" borderId="122" xfId="45" applyFont="1" applyFill="1" applyBorder="1" applyAlignment="1" applyProtection="1">
      <alignment vertical="center" wrapText="1"/>
      <protection locked="0"/>
    </xf>
    <xf numFmtId="43" fontId="4" fillId="0" borderId="11" xfId="45" applyFont="1" applyFill="1" applyBorder="1" applyAlignment="1" applyProtection="1">
      <alignment vertical="center" wrapText="1"/>
      <protection locked="0"/>
    </xf>
    <xf numFmtId="43" fontId="0" fillId="0" borderId="109" xfId="45" applyFont="1" applyFill="1" applyBorder="1" applyAlignment="1" applyProtection="1">
      <alignment vertical="center" wrapText="1"/>
      <protection locked="0"/>
    </xf>
    <xf numFmtId="43" fontId="3" fillId="0" borderId="54" xfId="45" applyFont="1" applyFill="1" applyBorder="1" applyAlignment="1" applyProtection="1">
      <alignment vertical="center" wrapText="1"/>
      <protection locked="0"/>
    </xf>
    <xf numFmtId="43" fontId="4" fillId="0" borderId="95" xfId="0" applyNumberFormat="1" applyFont="1" applyFill="1" applyBorder="1" applyAlignment="1" applyProtection="1">
      <alignment vertical="center" wrapText="1"/>
      <protection locked="0"/>
    </xf>
    <xf numFmtId="43" fontId="3" fillId="0" borderId="169" xfId="45" applyFont="1" applyFill="1" applyBorder="1" applyAlignment="1" applyProtection="1">
      <alignment vertical="center" wrapText="1"/>
      <protection hidden="1"/>
    </xf>
    <xf numFmtId="43" fontId="5" fillId="0" borderId="124" xfId="45" applyFont="1" applyFill="1" applyBorder="1" applyAlignment="1" applyProtection="1">
      <alignment vertical="center" wrapText="1"/>
      <protection hidden="1"/>
    </xf>
    <xf numFmtId="43" fontId="4" fillId="0" borderId="41" xfId="45" applyFont="1" applyFill="1" applyBorder="1" applyAlignment="1" applyProtection="1">
      <alignment vertical="center" wrapText="1"/>
      <protection locked="0"/>
    </xf>
    <xf numFmtId="43" fontId="4" fillId="0" borderId="57" xfId="45" applyFont="1" applyFill="1" applyBorder="1" applyAlignment="1" applyProtection="1">
      <alignment vertical="center" wrapText="1"/>
      <protection locked="0"/>
    </xf>
    <xf numFmtId="43" fontId="4" fillId="0" borderId="23" xfId="45" applyFont="1" applyFill="1" applyBorder="1" applyAlignment="1" applyProtection="1">
      <alignment vertical="center" wrapText="1"/>
      <protection locked="0"/>
    </xf>
    <xf numFmtId="43" fontId="4" fillId="0" borderId="170" xfId="45" applyFont="1" applyFill="1" applyBorder="1" applyAlignment="1" applyProtection="1">
      <alignment vertical="center" wrapText="1"/>
      <protection locked="0"/>
    </xf>
    <xf numFmtId="43" fontId="4" fillId="0" borderId="171" xfId="45" applyFont="1" applyFill="1" applyBorder="1" applyAlignment="1" applyProtection="1">
      <alignment vertical="center" wrapText="1"/>
      <protection locked="0"/>
    </xf>
    <xf numFmtId="43" fontId="4" fillId="0" borderId="56" xfId="45" applyFont="1" applyFill="1" applyBorder="1" applyAlignment="1" applyProtection="1">
      <alignment vertical="center" wrapText="1"/>
      <protection locked="0"/>
    </xf>
    <xf numFmtId="43" fontId="4" fillId="0" borderId="0" xfId="45" applyFont="1" applyFill="1" applyBorder="1" applyAlignment="1" applyProtection="1">
      <alignment vertical="center" wrapText="1"/>
      <protection locked="0"/>
    </xf>
    <xf numFmtId="43" fontId="5" fillId="0" borderId="56" xfId="0" applyNumberFormat="1" applyFont="1" applyFill="1" applyBorder="1" applyAlignment="1" applyProtection="1">
      <alignment vertical="center" wrapText="1"/>
      <protection locked="0"/>
    </xf>
    <xf numFmtId="0" fontId="5" fillId="0" borderId="162" xfId="0" applyFont="1" applyFill="1" applyBorder="1" applyAlignment="1" applyProtection="1">
      <alignment vertical="center" wrapText="1"/>
      <protection locked="0"/>
    </xf>
    <xf numFmtId="43" fontId="5" fillId="0" borderId="55" xfId="0" applyNumberFormat="1" applyFont="1" applyFill="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43" fontId="0" fillId="0" borderId="0" xfId="45" applyFont="1" applyFill="1" applyBorder="1" applyAlignment="1" applyProtection="1">
      <alignment vertical="center" wrapText="1"/>
      <protection locked="0"/>
    </xf>
    <xf numFmtId="165" fontId="0" fillId="0" borderId="0" xfId="0" applyNumberFormat="1" applyFont="1" applyFill="1" applyBorder="1" applyAlignment="1" applyProtection="1">
      <alignment vertical="center" wrapText="1"/>
      <protection locked="0"/>
    </xf>
    <xf numFmtId="43" fontId="0" fillId="0" borderId="0" xfId="0" applyNumberFormat="1" applyFont="1" applyFill="1" applyBorder="1" applyAlignment="1" applyProtection="1">
      <alignment vertical="center" wrapText="1"/>
      <protection locked="0"/>
    </xf>
    <xf numFmtId="0" fontId="14" fillId="0" borderId="0" xfId="0" applyFont="1" applyFill="1" applyAlignment="1" applyProtection="1">
      <alignment horizontal="center" vertical="center" wrapText="1"/>
      <protection hidden="1"/>
    </xf>
    <xf numFmtId="43" fontId="0" fillId="0" borderId="77" xfId="45" applyFont="1" applyFill="1" applyBorder="1" applyAlignment="1" applyProtection="1">
      <alignment vertical="center" wrapText="1"/>
      <protection hidden="1"/>
    </xf>
    <xf numFmtId="43" fontId="0" fillId="0" borderId="76" xfId="45" applyFont="1" applyFill="1" applyBorder="1" applyAlignment="1" applyProtection="1">
      <alignment horizontal="right" vertical="center" wrapText="1"/>
      <protection hidden="1"/>
    </xf>
    <xf numFmtId="43" fontId="6" fillId="0" borderId="0" xfId="45" applyFont="1" applyFill="1" applyBorder="1" applyAlignment="1" applyProtection="1">
      <alignment vertical="center" wrapText="1"/>
      <protection hidden="1"/>
    </xf>
    <xf numFmtId="43" fontId="0" fillId="0" borderId="84" xfId="45" applyFont="1" applyFill="1" applyBorder="1" applyAlignment="1" applyProtection="1">
      <alignment vertical="center" wrapText="1"/>
      <protection hidden="1"/>
    </xf>
    <xf numFmtId="43" fontId="0" fillId="0" borderId="105" xfId="45" applyFont="1" applyFill="1" applyBorder="1" applyAlignment="1" applyProtection="1">
      <alignment vertical="center" wrapText="1"/>
      <protection hidden="1"/>
    </xf>
    <xf numFmtId="0" fontId="0" fillId="0" borderId="76" xfId="0" applyFont="1" applyFill="1" applyBorder="1" applyAlignment="1" applyProtection="1">
      <alignment horizontal="center" vertical="center" wrapText="1"/>
      <protection hidden="1"/>
    </xf>
    <xf numFmtId="0" fontId="0" fillId="0" borderId="77" xfId="0" applyFont="1" applyFill="1" applyBorder="1" applyAlignment="1" applyProtection="1">
      <alignment horizontal="center" vertical="center" wrapText="1"/>
      <protection hidden="1"/>
    </xf>
    <xf numFmtId="43" fontId="0" fillId="0" borderId="152" xfId="45" applyFont="1" applyFill="1" applyBorder="1" applyAlignment="1" applyProtection="1">
      <alignment vertical="center" wrapText="1"/>
      <protection locked="0"/>
    </xf>
    <xf numFmtId="43" fontId="0" fillId="0" borderId="151" xfId="45" applyFont="1" applyFill="1" applyBorder="1" applyAlignment="1" applyProtection="1">
      <alignment vertical="center" wrapText="1"/>
      <protection locked="0"/>
    </xf>
    <xf numFmtId="43" fontId="0" fillId="0" borderId="172" xfId="45" applyFont="1" applyFill="1" applyBorder="1" applyAlignment="1" applyProtection="1">
      <alignment vertical="center" wrapText="1"/>
      <protection locked="0"/>
    </xf>
    <xf numFmtId="43" fontId="0" fillId="0" borderId="115" xfId="45" applyFont="1" applyFill="1" applyBorder="1" applyAlignment="1" applyProtection="1">
      <alignment vertical="center" wrapText="1"/>
      <protection locked="0"/>
    </xf>
    <xf numFmtId="43" fontId="0" fillId="0" borderId="133" xfId="45" applyFont="1" applyFill="1" applyBorder="1" applyAlignment="1" applyProtection="1">
      <alignment vertical="center" wrapText="1"/>
      <protection hidden="1"/>
    </xf>
    <xf numFmtId="43" fontId="0" fillId="0" borderId="84" xfId="45" applyFont="1" applyFill="1" applyBorder="1" applyAlignment="1" applyProtection="1">
      <alignment vertical="center" wrapText="1"/>
      <protection hidden="1"/>
    </xf>
    <xf numFmtId="43" fontId="0" fillId="0" borderId="119" xfId="45" applyFont="1" applyFill="1" applyBorder="1" applyAlignment="1" applyProtection="1">
      <alignment vertical="center" wrapText="1"/>
      <protection hidden="1"/>
    </xf>
    <xf numFmtId="43" fontId="0" fillId="0" borderId="88" xfId="45" applyFont="1" applyFill="1" applyBorder="1" applyAlignment="1" applyProtection="1">
      <alignment vertical="center" wrapText="1"/>
      <protection hidden="1"/>
    </xf>
    <xf numFmtId="43" fontId="0" fillId="0" borderId="173" xfId="45" applyFont="1" applyFill="1" applyBorder="1" applyAlignment="1" applyProtection="1">
      <alignment vertical="center" wrapText="1"/>
      <protection hidden="1"/>
    </xf>
    <xf numFmtId="43" fontId="0" fillId="0" borderId="132" xfId="45" applyFont="1" applyFill="1" applyBorder="1" applyAlignment="1" applyProtection="1">
      <alignment vertical="center" wrapText="1"/>
      <protection hidden="1"/>
    </xf>
    <xf numFmtId="43" fontId="0" fillId="0" borderId="0" xfId="45" applyFont="1" applyFill="1" applyBorder="1" applyAlignment="1" applyProtection="1">
      <alignment vertical="center" wrapText="1"/>
      <protection hidden="1"/>
    </xf>
    <xf numFmtId="43" fontId="0" fillId="0" borderId="119" xfId="45" applyFont="1" applyFill="1" applyBorder="1" applyAlignment="1" applyProtection="1">
      <alignment vertical="center" wrapText="1"/>
      <protection hidden="1"/>
    </xf>
    <xf numFmtId="43" fontId="0" fillId="0" borderId="139" xfId="45" applyFont="1" applyFill="1" applyBorder="1" applyAlignment="1" applyProtection="1">
      <alignment vertical="center" wrapText="1"/>
      <protection hidden="1"/>
    </xf>
    <xf numFmtId="43" fontId="0" fillId="35" borderId="134" xfId="45" applyFont="1" applyFill="1" applyBorder="1" applyAlignment="1" applyProtection="1">
      <alignment vertical="center" wrapText="1"/>
      <protection locked="0"/>
    </xf>
    <xf numFmtId="0" fontId="0" fillId="35" borderId="37" xfId="0" applyFont="1" applyFill="1" applyBorder="1" applyAlignment="1" applyProtection="1">
      <alignment horizontal="center" vertical="center" wrapText="1"/>
      <protection hidden="1"/>
    </xf>
    <xf numFmtId="0" fontId="0" fillId="35" borderId="74" xfId="0" applyFont="1" applyFill="1" applyBorder="1" applyAlignment="1" applyProtection="1">
      <alignment horizontal="center" vertical="center" wrapText="1"/>
      <protection hidden="1"/>
    </xf>
    <xf numFmtId="0" fontId="26" fillId="0" borderId="0" xfId="0" applyFont="1" applyFill="1" applyAlignment="1" applyProtection="1">
      <alignment horizontal="center" vertical="center" wrapText="1"/>
      <protection hidden="1"/>
    </xf>
    <xf numFmtId="0" fontId="0" fillId="0" borderId="0" xfId="0" applyFont="1" applyFill="1" applyBorder="1" applyAlignment="1" applyProtection="1">
      <alignment vertical="center" wrapText="1"/>
      <protection hidden="1"/>
    </xf>
    <xf numFmtId="0" fontId="0"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wrapText="1"/>
      <protection hidden="1"/>
    </xf>
    <xf numFmtId="0" fontId="1" fillId="0" borderId="82" xfId="0" applyFont="1" applyFill="1" applyBorder="1" applyAlignment="1" applyProtection="1">
      <alignment vertical="center" wrapText="1"/>
      <protection hidden="1"/>
    </xf>
    <xf numFmtId="0" fontId="1" fillId="0" borderId="71" xfId="0" applyFont="1" applyFill="1" applyBorder="1" applyAlignment="1" applyProtection="1">
      <alignment vertical="center" wrapText="1"/>
      <protection hidden="1"/>
    </xf>
    <xf numFmtId="0" fontId="0" fillId="0" borderId="19" xfId="0" applyFont="1" applyFill="1" applyBorder="1" applyAlignment="1" applyProtection="1">
      <alignment horizontal="center" vertical="center" wrapText="1"/>
      <protection hidden="1"/>
    </xf>
    <xf numFmtId="0" fontId="0" fillId="0" borderId="11" xfId="0" applyFont="1" applyFill="1" applyBorder="1" applyAlignment="1" applyProtection="1">
      <alignment horizontal="center" vertical="center" wrapText="1"/>
      <protection hidden="1"/>
    </xf>
    <xf numFmtId="0" fontId="0" fillId="0" borderId="11" xfId="0" applyFont="1" applyFill="1" applyBorder="1" applyAlignment="1" applyProtection="1">
      <alignment horizontal="center" vertical="center" wrapText="1"/>
      <protection hidden="1"/>
    </xf>
    <xf numFmtId="0" fontId="0" fillId="0" borderId="112" xfId="0" applyFont="1" applyFill="1" applyBorder="1" applyAlignment="1" applyProtection="1">
      <alignment horizontal="center" vertical="center" wrapText="1"/>
      <protection hidden="1"/>
    </xf>
    <xf numFmtId="0" fontId="0" fillId="0" borderId="18" xfId="0" applyFont="1" applyFill="1" applyBorder="1" applyAlignment="1" applyProtection="1">
      <alignment horizontal="center" vertical="center" wrapText="1"/>
      <protection hidden="1"/>
    </xf>
    <xf numFmtId="0" fontId="26" fillId="0" borderId="31" xfId="0" applyFont="1" applyFill="1" applyBorder="1" applyAlignment="1" applyProtection="1">
      <alignment horizontal="center" vertical="center" wrapText="1"/>
      <protection hidden="1"/>
    </xf>
    <xf numFmtId="0" fontId="4" fillId="0" borderId="83" xfId="0" applyFont="1" applyFill="1" applyBorder="1" applyAlignment="1" applyProtection="1">
      <alignment horizontal="center" vertical="center" wrapText="1"/>
      <protection hidden="1"/>
    </xf>
    <xf numFmtId="0" fontId="4" fillId="0" borderId="76" xfId="0" applyFont="1" applyFill="1" applyBorder="1" applyAlignment="1" applyProtection="1" quotePrefix="1">
      <alignment horizontal="center" vertical="center" wrapText="1"/>
      <protection hidden="1"/>
    </xf>
    <xf numFmtId="0" fontId="4" fillId="0" borderId="76" xfId="0" applyFont="1" applyFill="1" applyBorder="1" applyAlignment="1" applyProtection="1">
      <alignment horizontal="center" vertical="center" wrapText="1"/>
      <protection hidden="1"/>
    </xf>
    <xf numFmtId="0" fontId="0" fillId="0" borderId="84" xfId="0" applyFont="1" applyFill="1" applyBorder="1" applyAlignment="1" applyProtection="1">
      <alignment vertical="center" wrapText="1"/>
      <protection hidden="1"/>
    </xf>
    <xf numFmtId="43" fontId="0" fillId="0" borderId="174" xfId="45" applyFont="1" applyFill="1" applyBorder="1" applyAlignment="1" applyProtection="1">
      <alignment vertical="center" wrapText="1"/>
      <protection hidden="1"/>
    </xf>
    <xf numFmtId="43" fontId="0" fillId="0" borderId="86" xfId="45" applyFont="1" applyFill="1" applyBorder="1" applyAlignment="1" applyProtection="1">
      <alignment vertical="center" wrapText="1"/>
      <protection hidden="1"/>
    </xf>
    <xf numFmtId="0" fontId="0" fillId="0" borderId="88" xfId="0" applyFont="1" applyFill="1" applyBorder="1" applyAlignment="1" applyProtection="1">
      <alignment vertical="center" wrapText="1"/>
      <protection hidden="1"/>
    </xf>
    <xf numFmtId="0" fontId="4" fillId="0" borderId="87" xfId="0" applyFont="1" applyFill="1" applyBorder="1" applyAlignment="1" applyProtection="1">
      <alignment horizontal="center" vertical="center" wrapText="1"/>
      <protection hidden="1"/>
    </xf>
    <xf numFmtId="0" fontId="4" fillId="0" borderId="77" xfId="0" applyFont="1" applyFill="1" applyBorder="1" applyAlignment="1" applyProtection="1" quotePrefix="1">
      <alignment horizontal="center" vertical="center" wrapText="1"/>
      <protection hidden="1"/>
    </xf>
    <xf numFmtId="0" fontId="0" fillId="0" borderId="77" xfId="0" applyFont="1" applyFill="1" applyBorder="1" applyAlignment="1" applyProtection="1" quotePrefix="1">
      <alignment horizontal="center" vertical="center" wrapText="1"/>
      <protection hidden="1"/>
    </xf>
    <xf numFmtId="43" fontId="0" fillId="0" borderId="145" xfId="45" applyFont="1" applyFill="1" applyBorder="1" applyAlignment="1" applyProtection="1">
      <alignment vertical="center" wrapText="1"/>
      <protection hidden="1"/>
    </xf>
    <xf numFmtId="43" fontId="0" fillId="0" borderId="90" xfId="45" applyFont="1" applyFill="1" applyBorder="1" applyAlignment="1" applyProtection="1">
      <alignment vertical="center" wrapText="1"/>
      <protection hidden="1"/>
    </xf>
    <xf numFmtId="0" fontId="4" fillId="0" borderId="77" xfId="0" applyFont="1" applyFill="1" applyBorder="1" applyAlignment="1" applyProtection="1">
      <alignment horizontal="center" vertical="center" wrapText="1"/>
      <protection hidden="1"/>
    </xf>
    <xf numFmtId="0" fontId="0" fillId="0" borderId="88" xfId="0" applyFont="1" applyFill="1" applyBorder="1" applyAlignment="1" applyProtection="1">
      <alignment vertical="center" wrapText="1"/>
      <protection hidden="1"/>
    </xf>
    <xf numFmtId="0" fontId="4" fillId="0" borderId="100" xfId="0" applyFont="1" applyFill="1" applyBorder="1" applyAlignment="1" applyProtection="1">
      <alignment horizontal="center" vertical="center" wrapText="1"/>
      <protection hidden="1"/>
    </xf>
    <xf numFmtId="43" fontId="0" fillId="0" borderId="156" xfId="45" applyFont="1" applyFill="1" applyBorder="1" applyAlignment="1" applyProtection="1">
      <alignment vertical="center" wrapText="1"/>
      <protection hidden="1"/>
    </xf>
    <xf numFmtId="43" fontId="0" fillId="0" borderId="113" xfId="45" applyFont="1" applyFill="1" applyBorder="1" applyAlignment="1" applyProtection="1">
      <alignment vertical="center" wrapText="1"/>
      <protection hidden="1"/>
    </xf>
    <xf numFmtId="0" fontId="0" fillId="0" borderId="77" xfId="0" applyFont="1" applyFill="1" applyBorder="1" applyAlignment="1" applyProtection="1">
      <alignment vertical="center" wrapText="1"/>
      <protection hidden="1"/>
    </xf>
    <xf numFmtId="0" fontId="0" fillId="0" borderId="100" xfId="0" applyFont="1" applyFill="1" applyBorder="1" applyAlignment="1" applyProtection="1" quotePrefix="1">
      <alignment horizontal="center" vertical="center" wrapText="1"/>
      <protection hidden="1"/>
    </xf>
    <xf numFmtId="0" fontId="4" fillId="0" borderId="109" xfId="0" applyFont="1" applyFill="1" applyBorder="1" applyAlignment="1" applyProtection="1" quotePrefix="1">
      <alignment horizontal="center" vertical="center" wrapText="1"/>
      <protection hidden="1"/>
    </xf>
    <xf numFmtId="0" fontId="0" fillId="0" borderId="109" xfId="0" applyFont="1" applyFill="1" applyBorder="1" applyAlignment="1" applyProtection="1">
      <alignment horizontal="center" vertical="center" wrapText="1"/>
      <protection hidden="1"/>
    </xf>
    <xf numFmtId="0" fontId="0" fillId="0" borderId="105" xfId="0" applyFont="1" applyFill="1" applyBorder="1" applyAlignment="1" applyProtection="1">
      <alignment vertical="center" wrapText="1"/>
      <protection hidden="1"/>
    </xf>
    <xf numFmtId="43" fontId="4" fillId="0" borderId="48" xfId="0" applyNumberFormat="1" applyFont="1" applyFill="1" applyBorder="1" applyAlignment="1" applyProtection="1">
      <alignment vertical="center" wrapText="1"/>
      <protection hidden="1"/>
    </xf>
    <xf numFmtId="43" fontId="4" fillId="0" borderId="29" xfId="0" applyNumberFormat="1" applyFont="1" applyFill="1" applyBorder="1" applyAlignment="1" applyProtection="1">
      <alignment vertical="center" wrapText="1"/>
      <protection hidden="1"/>
    </xf>
    <xf numFmtId="43" fontId="4" fillId="0" borderId="60" xfId="0" applyNumberFormat="1" applyFont="1" applyFill="1" applyBorder="1" applyAlignment="1" applyProtection="1">
      <alignment vertical="center" wrapText="1"/>
      <protection hidden="1"/>
    </xf>
    <xf numFmtId="0" fontId="4" fillId="0" borderId="0" xfId="0" applyFont="1" applyFill="1" applyBorder="1" applyAlignment="1" applyProtection="1">
      <alignment vertical="center" wrapText="1"/>
      <protection hidden="1"/>
    </xf>
    <xf numFmtId="0" fontId="4" fillId="0" borderId="109" xfId="0" applyFont="1" applyFill="1" applyBorder="1" applyAlignment="1" applyProtection="1">
      <alignment horizontal="center" vertical="center" wrapText="1"/>
      <protection hidden="1"/>
    </xf>
    <xf numFmtId="0" fontId="0" fillId="0" borderId="101" xfId="0" applyFont="1" applyFill="1" applyBorder="1" applyAlignment="1" applyProtection="1">
      <alignment vertical="center" wrapText="1"/>
      <protection hidden="1"/>
    </xf>
    <xf numFmtId="0" fontId="0" fillId="0" borderId="76" xfId="0" applyFont="1" applyFill="1" applyBorder="1" applyAlignment="1" applyProtection="1" quotePrefix="1">
      <alignment horizontal="center" vertical="center" wrapText="1"/>
      <protection hidden="1"/>
    </xf>
    <xf numFmtId="0" fontId="0" fillId="0" borderId="100" xfId="0" applyFont="1" applyFill="1" applyBorder="1" applyAlignment="1" applyProtection="1">
      <alignment vertical="center" wrapText="1"/>
      <protection hidden="1"/>
    </xf>
    <xf numFmtId="43" fontId="4" fillId="0" borderId="32" xfId="45" applyFont="1" applyFill="1" applyBorder="1" applyAlignment="1" applyProtection="1">
      <alignment vertical="center" wrapText="1"/>
      <protection hidden="1"/>
    </xf>
    <xf numFmtId="43" fontId="4" fillId="0" borderId="60" xfId="45" applyFont="1" applyFill="1" applyBorder="1" applyAlignment="1" applyProtection="1">
      <alignment vertical="center" wrapText="1"/>
      <protection hidden="1"/>
    </xf>
    <xf numFmtId="0" fontId="0" fillId="0" borderId="76" xfId="0" applyFont="1" applyFill="1" applyBorder="1" applyAlignment="1" applyProtection="1" quotePrefix="1">
      <alignment horizontal="center" vertical="center" wrapText="1"/>
      <protection hidden="1"/>
    </xf>
    <xf numFmtId="43" fontId="4" fillId="0" borderId="32" xfId="0" applyNumberFormat="1" applyFont="1" applyFill="1" applyBorder="1" applyAlignment="1" applyProtection="1">
      <alignment vertical="center" wrapText="1"/>
      <protection hidden="1"/>
    </xf>
    <xf numFmtId="0" fontId="0" fillId="0" borderId="77" xfId="0" applyFont="1" applyFill="1" applyBorder="1" applyAlignment="1" applyProtection="1" quotePrefix="1">
      <alignment horizontal="center" vertical="center" wrapText="1"/>
      <protection hidden="1"/>
    </xf>
    <xf numFmtId="0" fontId="0" fillId="0" borderId="88" xfId="0" applyFont="1" applyFill="1" applyBorder="1" applyAlignment="1" applyProtection="1">
      <alignment vertical="center" wrapText="1"/>
      <protection hidden="1"/>
    </xf>
    <xf numFmtId="43" fontId="0" fillId="0" borderId="89" xfId="45" applyFont="1" applyFill="1" applyBorder="1" applyAlignment="1" applyProtection="1">
      <alignment vertical="center" wrapText="1"/>
      <protection hidden="1"/>
    </xf>
    <xf numFmtId="43" fontId="0" fillId="0" borderId="145" xfId="45" applyFont="1" applyFill="1" applyBorder="1" applyAlignment="1" applyProtection="1">
      <alignment vertical="center" wrapText="1"/>
      <protection hidden="1"/>
    </xf>
    <xf numFmtId="43" fontId="0" fillId="0" borderId="90" xfId="45" applyFont="1" applyFill="1" applyBorder="1" applyAlignment="1" applyProtection="1">
      <alignment vertical="center" wrapText="1"/>
      <protection hidden="1"/>
    </xf>
    <xf numFmtId="0" fontId="0" fillId="0" borderId="76" xfId="0" applyFont="1" applyFill="1" applyBorder="1" applyAlignment="1" applyProtection="1" quotePrefix="1">
      <alignment horizontal="center" vertical="center" wrapText="1"/>
      <protection hidden="1"/>
    </xf>
    <xf numFmtId="0" fontId="0" fillId="0" borderId="84" xfId="0" applyFont="1" applyFill="1" applyBorder="1" applyAlignment="1" applyProtection="1">
      <alignment vertical="center" wrapText="1"/>
      <protection hidden="1"/>
    </xf>
    <xf numFmtId="43" fontId="0" fillId="0" borderId="174" xfId="45" applyFont="1" applyFill="1" applyBorder="1" applyAlignment="1" applyProtection="1">
      <alignment vertical="center" wrapText="1"/>
      <protection hidden="1"/>
    </xf>
    <xf numFmtId="43" fontId="0" fillId="0" borderId="86" xfId="45" applyFont="1" applyFill="1" applyBorder="1" applyAlignment="1" applyProtection="1">
      <alignment vertical="center" wrapText="1"/>
      <protection hidden="1"/>
    </xf>
    <xf numFmtId="0" fontId="0" fillId="0" borderId="100" xfId="0" applyFont="1" applyFill="1" applyBorder="1" applyAlignment="1" applyProtection="1" quotePrefix="1">
      <alignment horizontal="center" vertical="center" wrapText="1"/>
      <protection hidden="1"/>
    </xf>
    <xf numFmtId="0" fontId="0" fillId="0" borderId="101" xfId="0" applyFont="1" applyFill="1" applyBorder="1" applyAlignment="1" applyProtection="1">
      <alignment vertical="center" wrapText="1"/>
      <protection hidden="1"/>
    </xf>
    <xf numFmtId="43" fontId="0" fillId="0" borderId="102" xfId="45" applyFont="1" applyFill="1" applyBorder="1" applyAlignment="1" applyProtection="1">
      <alignment vertical="center" wrapText="1"/>
      <protection hidden="1"/>
    </xf>
    <xf numFmtId="43" fontId="0" fillId="0" borderId="85" xfId="45" applyFont="1" applyFill="1" applyBorder="1" applyAlignment="1" applyProtection="1">
      <alignment vertical="center" wrapText="1"/>
      <protection hidden="1"/>
    </xf>
    <xf numFmtId="43" fontId="4" fillId="0" borderId="29" xfId="45" applyFont="1" applyFill="1" applyBorder="1" applyAlignment="1" applyProtection="1">
      <alignment vertical="center" wrapText="1"/>
      <protection hidden="1"/>
    </xf>
    <xf numFmtId="0" fontId="0" fillId="0" borderId="84" xfId="0" applyFont="1" applyFill="1" applyBorder="1" applyAlignment="1" applyProtection="1">
      <alignment vertical="center" wrapText="1"/>
      <protection hidden="1"/>
    </xf>
    <xf numFmtId="43" fontId="0" fillId="0" borderId="130" xfId="45" applyFont="1" applyFill="1" applyBorder="1" applyAlignment="1" applyProtection="1">
      <alignment vertical="center" wrapText="1"/>
      <protection hidden="1"/>
    </xf>
    <xf numFmtId="43" fontId="0" fillId="0" borderId="131" xfId="45" applyFont="1" applyFill="1" applyBorder="1" applyAlignment="1" applyProtection="1">
      <alignment vertical="center" wrapText="1"/>
      <protection hidden="1"/>
    </xf>
    <xf numFmtId="43" fontId="0" fillId="0" borderId="69" xfId="45" applyFont="1" applyFill="1" applyBorder="1" applyAlignment="1" applyProtection="1">
      <alignment vertical="center" wrapText="1"/>
      <protection hidden="1"/>
    </xf>
    <xf numFmtId="0" fontId="4" fillId="0" borderId="108" xfId="0" applyFont="1" applyFill="1" applyBorder="1" applyAlignment="1" applyProtection="1">
      <alignment horizontal="center" vertical="center" wrapText="1"/>
      <protection hidden="1"/>
    </xf>
    <xf numFmtId="0" fontId="0" fillId="0" borderId="105" xfId="0" applyFont="1" applyFill="1" applyBorder="1" applyAlignment="1" applyProtection="1">
      <alignment vertical="center" wrapText="1"/>
      <protection hidden="1"/>
    </xf>
    <xf numFmtId="43" fontId="0" fillId="0" borderId="105" xfId="45" applyFont="1" applyFill="1" applyBorder="1" applyAlignment="1" applyProtection="1">
      <alignment vertical="center" wrapText="1"/>
      <protection hidden="1"/>
    </xf>
    <xf numFmtId="43" fontId="0" fillId="0" borderId="0" xfId="45" applyFont="1" applyFill="1" applyBorder="1" applyAlignment="1" applyProtection="1">
      <alignment vertical="center" wrapText="1"/>
      <protection hidden="1"/>
    </xf>
    <xf numFmtId="43" fontId="0" fillId="0" borderId="144" xfId="45" applyFont="1" applyFill="1" applyBorder="1" applyAlignment="1" applyProtection="1">
      <alignment vertical="center" wrapText="1"/>
      <protection hidden="1"/>
    </xf>
    <xf numFmtId="43" fontId="0" fillId="0" borderId="110" xfId="45" applyFont="1" applyFill="1" applyBorder="1" applyAlignment="1" applyProtection="1">
      <alignment vertical="center" wrapText="1"/>
      <protection hidden="1"/>
    </xf>
    <xf numFmtId="43" fontId="4" fillId="0" borderId="12" xfId="45" applyFont="1" applyFill="1" applyBorder="1" applyAlignment="1" applyProtection="1">
      <alignment vertical="center" wrapText="1"/>
      <protection hidden="1"/>
    </xf>
    <xf numFmtId="43" fontId="4" fillId="0" borderId="53" xfId="0" applyNumberFormat="1" applyFont="1" applyFill="1" applyBorder="1" applyAlignment="1" applyProtection="1">
      <alignment vertical="center" wrapText="1"/>
      <protection hidden="1"/>
    </xf>
    <xf numFmtId="43" fontId="4" fillId="0" borderId="27" xfId="0" applyNumberFormat="1" applyFont="1" applyFill="1" applyBorder="1" applyAlignment="1" applyProtection="1">
      <alignment vertical="center" wrapText="1"/>
      <protection hidden="1"/>
    </xf>
    <xf numFmtId="43" fontId="4" fillId="0" borderId="52" xfId="0" applyNumberFormat="1" applyFont="1" applyFill="1" applyBorder="1" applyAlignment="1" applyProtection="1">
      <alignment vertical="center" wrapText="1"/>
      <protection hidden="1"/>
    </xf>
    <xf numFmtId="43" fontId="0" fillId="0" borderId="134" xfId="45" applyFont="1" applyFill="1" applyBorder="1" applyAlignment="1" applyProtection="1">
      <alignment vertical="center" wrapText="1"/>
      <protection hidden="1"/>
    </xf>
    <xf numFmtId="43" fontId="4" fillId="0" borderId="71" xfId="45" applyFont="1" applyFill="1" applyBorder="1" applyAlignment="1" applyProtection="1">
      <alignment vertical="center" wrapText="1"/>
      <protection hidden="1"/>
    </xf>
    <xf numFmtId="43" fontId="0" fillId="0" borderId="120" xfId="45" applyFont="1" applyFill="1" applyBorder="1" applyAlignment="1" applyProtection="1">
      <alignment vertical="center" wrapText="1"/>
      <protection hidden="1"/>
    </xf>
    <xf numFmtId="43" fontId="0" fillId="0" borderId="136" xfId="45" applyFont="1" applyFill="1" applyBorder="1" applyAlignment="1" applyProtection="1">
      <alignment vertical="center" wrapText="1"/>
      <protection hidden="1"/>
    </xf>
    <xf numFmtId="43" fontId="0" fillId="0" borderId="144" xfId="45" applyFont="1" applyFill="1" applyBorder="1" applyAlignment="1" applyProtection="1">
      <alignment vertical="center" wrapText="1"/>
      <protection hidden="1"/>
    </xf>
    <xf numFmtId="43" fontId="0" fillId="0" borderId="110" xfId="45" applyFont="1" applyFill="1" applyBorder="1" applyAlignment="1" applyProtection="1">
      <alignment vertical="center" wrapText="1"/>
      <protection hidden="1"/>
    </xf>
    <xf numFmtId="0" fontId="0" fillId="0" borderId="109" xfId="0" applyFont="1" applyFill="1" applyBorder="1" applyAlignment="1" applyProtection="1" quotePrefix="1">
      <alignment horizontal="center" vertical="center" wrapText="1"/>
      <protection hidden="1"/>
    </xf>
    <xf numFmtId="43" fontId="0" fillId="0" borderId="137" xfId="45" applyFont="1" applyFill="1" applyBorder="1" applyAlignment="1" applyProtection="1">
      <alignment vertical="center" wrapText="1"/>
      <protection hidden="1"/>
    </xf>
    <xf numFmtId="0" fontId="4" fillId="0" borderId="138" xfId="0" applyFont="1" applyFill="1" applyBorder="1" applyAlignment="1" applyProtection="1">
      <alignment horizontal="center" vertical="center" wrapText="1"/>
      <protection hidden="1"/>
    </xf>
    <xf numFmtId="0" fontId="4" fillId="0" borderId="131" xfId="0" applyFont="1" applyFill="1" applyBorder="1" applyAlignment="1" applyProtection="1">
      <alignment horizontal="center" vertical="center" wrapText="1"/>
      <protection hidden="1"/>
    </xf>
    <xf numFmtId="0" fontId="4" fillId="0" borderId="131" xfId="0" applyFont="1" applyFill="1" applyBorder="1" applyAlignment="1" applyProtection="1" quotePrefix="1">
      <alignment horizontal="center" vertical="center" wrapText="1"/>
      <protection hidden="1"/>
    </xf>
    <xf numFmtId="0" fontId="0" fillId="0" borderId="131" xfId="0" applyFont="1" applyFill="1" applyBorder="1" applyAlignment="1" applyProtection="1" quotePrefix="1">
      <alignment horizontal="center" vertical="center" wrapText="1"/>
      <protection hidden="1"/>
    </xf>
    <xf numFmtId="0" fontId="0" fillId="0" borderId="131" xfId="0" applyFont="1" applyFill="1" applyBorder="1" applyAlignment="1" applyProtection="1">
      <alignment horizontal="center" vertical="center" wrapText="1"/>
      <protection hidden="1"/>
    </xf>
    <xf numFmtId="0" fontId="0" fillId="0" borderId="130" xfId="0" applyFont="1" applyFill="1" applyBorder="1" applyAlignment="1" applyProtection="1">
      <alignment vertical="center" wrapText="1"/>
      <protection hidden="1"/>
    </xf>
    <xf numFmtId="43" fontId="0" fillId="0" borderId="69" xfId="45" applyFont="1" applyFill="1" applyBorder="1" applyAlignment="1" applyProtection="1">
      <alignment vertical="center" wrapText="1"/>
      <protection hidden="1"/>
    </xf>
    <xf numFmtId="43" fontId="0" fillId="0" borderId="175" xfId="45" applyFont="1" applyFill="1" applyBorder="1" applyAlignment="1" applyProtection="1">
      <alignment vertical="center" wrapText="1"/>
      <protection hidden="1"/>
    </xf>
    <xf numFmtId="43" fontId="0" fillId="0" borderId="176" xfId="45" applyFont="1" applyFill="1" applyBorder="1" applyAlignment="1" applyProtection="1">
      <alignment vertical="center" wrapText="1"/>
      <protection hidden="1"/>
    </xf>
    <xf numFmtId="43" fontId="0" fillId="0" borderId="177" xfId="45" applyFont="1" applyFill="1" applyBorder="1" applyAlignment="1" applyProtection="1">
      <alignment vertical="center" wrapText="1"/>
      <protection hidden="1"/>
    </xf>
    <xf numFmtId="43" fontId="0" fillId="0" borderId="178" xfId="45" applyFont="1" applyFill="1" applyBorder="1" applyAlignment="1" applyProtection="1">
      <alignment vertical="center" wrapText="1"/>
      <protection hidden="1"/>
    </xf>
    <xf numFmtId="43" fontId="0" fillId="0" borderId="168" xfId="45" applyFont="1" applyFill="1" applyBorder="1" applyAlignment="1" applyProtection="1">
      <alignment vertical="center" wrapText="1"/>
      <protection hidden="1"/>
    </xf>
    <xf numFmtId="0" fontId="4" fillId="0" borderId="174" xfId="0" applyFont="1" applyFill="1" applyBorder="1" applyAlignment="1" applyProtection="1">
      <alignment horizontal="center" vertical="center" wrapText="1"/>
      <protection hidden="1"/>
    </xf>
    <xf numFmtId="43" fontId="0" fillId="0" borderId="179" xfId="45" applyFont="1" applyFill="1" applyBorder="1" applyAlignment="1" applyProtection="1">
      <alignment vertical="center" wrapText="1"/>
      <protection hidden="1"/>
    </xf>
    <xf numFmtId="0" fontId="0" fillId="0" borderId="109" xfId="0" applyFont="1" applyFill="1" applyBorder="1" applyAlignment="1" applyProtection="1">
      <alignment vertical="center" wrapText="1"/>
      <protection hidden="1"/>
    </xf>
    <xf numFmtId="0" fontId="0" fillId="0" borderId="105" xfId="0" applyFont="1" applyFill="1" applyBorder="1" applyAlignment="1" applyProtection="1">
      <alignment vertical="center" wrapText="1"/>
      <protection hidden="1"/>
    </xf>
    <xf numFmtId="43" fontId="3" fillId="0" borderId="45" xfId="45" applyFont="1" applyFill="1" applyBorder="1" applyAlignment="1" applyProtection="1">
      <alignment vertical="center" wrapText="1"/>
      <protection hidden="1"/>
    </xf>
    <xf numFmtId="0" fontId="3" fillId="0" borderId="23" xfId="0" applyFont="1" applyFill="1" applyBorder="1" applyAlignment="1" applyProtection="1">
      <alignment vertical="center" wrapText="1"/>
      <protection hidden="1"/>
    </xf>
    <xf numFmtId="0" fontId="1" fillId="0" borderId="56" xfId="0" applyFont="1" applyFill="1" applyBorder="1" applyAlignment="1" applyProtection="1">
      <alignment horizontal="center" vertical="center" wrapText="1"/>
      <protection hidden="1"/>
    </xf>
    <xf numFmtId="0" fontId="1" fillId="0" borderId="82" xfId="0" applyFont="1" applyFill="1" applyBorder="1" applyAlignment="1" applyProtection="1">
      <alignment horizontal="center" vertical="center" wrapText="1"/>
      <protection hidden="1"/>
    </xf>
    <xf numFmtId="43" fontId="4" fillId="0" borderId="57" xfId="45" applyFont="1" applyFill="1" applyBorder="1" applyAlignment="1" applyProtection="1">
      <alignment vertical="center" wrapText="1"/>
      <protection hidden="1"/>
    </xf>
    <xf numFmtId="43" fontId="0" fillId="0" borderId="180" xfId="45" applyFont="1" applyFill="1" applyBorder="1" applyAlignment="1" applyProtection="1">
      <alignment vertical="center" wrapText="1"/>
      <protection hidden="1"/>
    </xf>
    <xf numFmtId="43" fontId="4" fillId="35" borderId="32" xfId="45" applyFont="1" applyFill="1" applyBorder="1" applyAlignment="1" applyProtection="1">
      <alignment vertical="center" wrapText="1"/>
      <protection hidden="1"/>
    </xf>
    <xf numFmtId="43" fontId="0" fillId="35" borderId="145" xfId="45" applyFont="1" applyFill="1" applyBorder="1" applyAlignment="1" applyProtection="1">
      <alignment vertical="center" wrapText="1"/>
      <protection hidden="1"/>
    </xf>
    <xf numFmtId="0" fontId="0" fillId="35" borderId="181" xfId="0" applyFont="1" applyFill="1" applyBorder="1" applyAlignment="1" applyProtection="1">
      <alignment horizontal="center" vertical="center" wrapText="1"/>
      <protection hidden="1"/>
    </xf>
    <xf numFmtId="43" fontId="4" fillId="0" borderId="0" xfId="45" applyFont="1" applyFill="1" applyBorder="1" applyAlignment="1" applyProtection="1">
      <alignment vertical="center" wrapText="1"/>
      <protection hidden="1"/>
    </xf>
    <xf numFmtId="43" fontId="4" fillId="0" borderId="58" xfId="45" applyFont="1" applyFill="1" applyBorder="1" applyAlignment="1" applyProtection="1">
      <alignment vertical="center" wrapText="1"/>
      <protection hidden="1"/>
    </xf>
    <xf numFmtId="43" fontId="4" fillId="0" borderId="72" xfId="45" applyFont="1" applyFill="1" applyBorder="1" applyAlignment="1" applyProtection="1">
      <alignment vertical="center" wrapText="1"/>
      <protection hidden="1"/>
    </xf>
    <xf numFmtId="43" fontId="4" fillId="0" borderId="13" xfId="45" applyFont="1" applyFill="1" applyBorder="1" applyAlignment="1" applyProtection="1">
      <alignment vertical="center" wrapText="1"/>
      <protection hidden="1"/>
    </xf>
    <xf numFmtId="43" fontId="4" fillId="0" borderId="52" xfId="45" applyFont="1" applyFill="1" applyBorder="1" applyAlignment="1" applyProtection="1">
      <alignment vertical="center" wrapText="1"/>
      <protection hidden="1"/>
    </xf>
    <xf numFmtId="43" fontId="0" fillId="0" borderId="150" xfId="45" applyFont="1" applyFill="1" applyBorder="1" applyAlignment="1" applyProtection="1">
      <alignment vertical="center" wrapText="1"/>
      <protection hidden="1"/>
    </xf>
    <xf numFmtId="43" fontId="0" fillId="0" borderId="107" xfId="45" applyFont="1" applyFill="1" applyBorder="1" applyAlignment="1" applyProtection="1">
      <alignment vertical="center" wrapText="1"/>
      <protection hidden="1"/>
    </xf>
    <xf numFmtId="43" fontId="0" fillId="0" borderId="83" xfId="45" applyFont="1" applyFill="1" applyBorder="1" applyAlignment="1" applyProtection="1">
      <alignment vertical="center" wrapText="1"/>
      <protection hidden="1"/>
    </xf>
    <xf numFmtId="43" fontId="4" fillId="0" borderId="64" xfId="45" applyFont="1" applyFill="1" applyBorder="1" applyAlignment="1" applyProtection="1">
      <alignment vertical="center" wrapText="1"/>
      <protection hidden="1"/>
    </xf>
    <xf numFmtId="43" fontId="4" fillId="0" borderId="65" xfId="45" applyFont="1" applyFill="1" applyBorder="1" applyAlignment="1" applyProtection="1">
      <alignment vertical="center" wrapText="1"/>
      <protection hidden="1"/>
    </xf>
    <xf numFmtId="43" fontId="4" fillId="37" borderId="55" xfId="45" applyFont="1" applyFill="1" applyBorder="1" applyAlignment="1" applyProtection="1">
      <alignment vertical="center" wrapText="1"/>
      <protection hidden="1"/>
    </xf>
    <xf numFmtId="43" fontId="3" fillId="0" borderId="82" xfId="45" applyFont="1" applyFill="1" applyBorder="1" applyAlignment="1" applyProtection="1">
      <alignment vertical="center" wrapText="1"/>
      <protection hidden="1"/>
    </xf>
    <xf numFmtId="43" fontId="3" fillId="0" borderId="71" xfId="45" applyFont="1" applyFill="1" applyBorder="1" applyAlignment="1" applyProtection="1">
      <alignment vertical="center" wrapText="1"/>
      <protection hidden="1"/>
    </xf>
    <xf numFmtId="43" fontId="4" fillId="0" borderId="82" xfId="45" applyFont="1" applyFill="1" applyBorder="1" applyAlignment="1" applyProtection="1">
      <alignment vertical="center" wrapText="1"/>
      <protection hidden="1"/>
    </xf>
    <xf numFmtId="43" fontId="3" fillId="37" borderId="95" xfId="45" applyFont="1" applyFill="1" applyBorder="1" applyAlignment="1" applyProtection="1">
      <alignment vertical="center" wrapText="1"/>
      <protection hidden="1"/>
    </xf>
    <xf numFmtId="43" fontId="3" fillId="37" borderId="33" xfId="45" applyFont="1" applyFill="1" applyBorder="1" applyAlignment="1" applyProtection="1">
      <alignment vertical="center" wrapText="1"/>
      <protection hidden="1"/>
    </xf>
    <xf numFmtId="43" fontId="3" fillId="37" borderId="91" xfId="45" applyFont="1" applyFill="1" applyBorder="1" applyAlignment="1" applyProtection="1">
      <alignment vertical="center" wrapText="1"/>
      <protection hidden="1"/>
    </xf>
    <xf numFmtId="43" fontId="3" fillId="37" borderId="45" xfId="45" applyFont="1" applyFill="1" applyBorder="1" applyAlignment="1" applyProtection="1">
      <alignment vertical="center" wrapText="1"/>
      <protection hidden="1"/>
    </xf>
    <xf numFmtId="43" fontId="3" fillId="37" borderId="55" xfId="45" applyFont="1" applyFill="1" applyBorder="1" applyAlignment="1" applyProtection="1">
      <alignment vertical="center" wrapText="1"/>
      <protection hidden="1"/>
    </xf>
    <xf numFmtId="43" fontId="3" fillId="37" borderId="58" xfId="45" applyFont="1" applyFill="1" applyBorder="1" applyAlignment="1" applyProtection="1">
      <alignment vertical="center" wrapText="1"/>
      <protection hidden="1"/>
    </xf>
    <xf numFmtId="43" fontId="3" fillId="37" borderId="72" xfId="45" applyFont="1" applyFill="1" applyBorder="1" applyAlignment="1" applyProtection="1">
      <alignment vertical="center" wrapText="1"/>
      <protection hidden="1"/>
    </xf>
    <xf numFmtId="43" fontId="3" fillId="37" borderId="65" xfId="45" applyFont="1" applyFill="1" applyBorder="1" applyAlignment="1" applyProtection="1">
      <alignment vertical="center" wrapText="1"/>
      <protection hidden="1"/>
    </xf>
    <xf numFmtId="43" fontId="3" fillId="37" borderId="165" xfId="45" applyFont="1" applyFill="1" applyBorder="1" applyAlignment="1" applyProtection="1">
      <alignment vertical="center" wrapText="1"/>
      <protection hidden="1"/>
    </xf>
    <xf numFmtId="43" fontId="4" fillId="0" borderId="35" xfId="45" applyFont="1" applyFill="1" applyBorder="1" applyAlignment="1" applyProtection="1">
      <alignment vertical="center" wrapText="1"/>
      <protection locked="0"/>
    </xf>
    <xf numFmtId="43" fontId="4" fillId="0" borderId="44" xfId="45" applyFont="1" applyFill="1" applyBorder="1" applyAlignment="1" applyProtection="1">
      <alignment vertical="center" wrapText="1"/>
      <protection locked="0"/>
    </xf>
    <xf numFmtId="43" fontId="4" fillId="0" borderId="45" xfId="45" applyFont="1" applyFill="1" applyBorder="1" applyAlignment="1" applyProtection="1">
      <alignment vertical="center" wrapText="1"/>
      <protection locked="0"/>
    </xf>
    <xf numFmtId="43" fontId="4" fillId="37" borderId="95" xfId="0" applyNumberFormat="1" applyFont="1" applyFill="1" applyBorder="1" applyAlignment="1" applyProtection="1">
      <alignment horizontal="center" vertical="center" wrapText="1"/>
      <protection hidden="1"/>
    </xf>
    <xf numFmtId="43" fontId="4" fillId="37" borderId="91" xfId="0" applyNumberFormat="1" applyFont="1" applyFill="1" applyBorder="1" applyAlignment="1" applyProtection="1">
      <alignment horizontal="center" vertical="center" wrapText="1"/>
      <protection hidden="1"/>
    </xf>
    <xf numFmtId="43" fontId="4" fillId="37" borderId="55" xfId="45" applyFont="1" applyFill="1" applyBorder="1" applyAlignment="1" applyProtection="1">
      <alignment horizontal="center" vertical="center" wrapText="1"/>
      <protection hidden="1"/>
    </xf>
    <xf numFmtId="43" fontId="4" fillId="37" borderId="95" xfId="45" applyFont="1" applyFill="1" applyBorder="1" applyAlignment="1" applyProtection="1">
      <alignment vertical="center" wrapText="1"/>
      <protection hidden="1"/>
    </xf>
    <xf numFmtId="43" fontId="4" fillId="0" borderId="56" xfId="45" applyFont="1" applyFill="1" applyBorder="1" applyAlignment="1" applyProtection="1">
      <alignment vertical="center" wrapText="1"/>
      <protection hidden="1"/>
    </xf>
    <xf numFmtId="43" fontId="3" fillId="37" borderId="50" xfId="45" applyFont="1" applyFill="1" applyBorder="1" applyAlignment="1" applyProtection="1">
      <alignment vertical="center" wrapText="1"/>
      <protection hidden="1"/>
    </xf>
    <xf numFmtId="0" fontId="0" fillId="0" borderId="100" xfId="0" applyFont="1" applyFill="1" applyBorder="1" applyAlignment="1" applyProtection="1">
      <alignment horizontal="center" vertical="center" wrapText="1"/>
      <protection hidden="1"/>
    </xf>
    <xf numFmtId="43" fontId="0" fillId="0" borderId="87" xfId="45" applyFont="1" applyFill="1" applyBorder="1" applyAlignment="1" applyProtection="1">
      <alignment vertical="center" wrapText="1"/>
      <protection hidden="1"/>
    </xf>
    <xf numFmtId="0" fontId="0" fillId="0" borderId="77" xfId="0" applyFont="1" applyFill="1" applyBorder="1" applyAlignment="1" applyProtection="1">
      <alignment vertical="center" wrapText="1"/>
      <protection locked="0"/>
    </xf>
    <xf numFmtId="0" fontId="0" fillId="35" borderId="109" xfId="0" applyFont="1" applyFill="1" applyBorder="1" applyAlignment="1" applyProtection="1">
      <alignment vertical="center" wrapText="1"/>
      <protection locked="0"/>
    </xf>
    <xf numFmtId="43" fontId="0" fillId="0" borderId="109" xfId="45" applyFont="1" applyFill="1" applyBorder="1" applyAlignment="1" applyProtection="1">
      <alignment vertical="center" wrapText="1"/>
      <protection locked="0"/>
    </xf>
    <xf numFmtId="43" fontId="0" fillId="0" borderId="172" xfId="45" applyFont="1" applyFill="1" applyBorder="1" applyAlignment="1" applyProtection="1">
      <alignment vertical="center" wrapText="1"/>
      <protection locked="0"/>
    </xf>
    <xf numFmtId="43" fontId="0" fillId="0" borderId="115" xfId="45" applyFont="1" applyFill="1" applyBorder="1" applyAlignment="1" applyProtection="1">
      <alignment vertical="center" wrapText="1"/>
      <protection locked="0"/>
    </xf>
    <xf numFmtId="43" fontId="0" fillId="0" borderId="89" xfId="45" applyFont="1" applyFill="1" applyBorder="1" applyAlignment="1" applyProtection="1">
      <alignment vertical="center" wrapText="1"/>
      <protection locked="0"/>
    </xf>
    <xf numFmtId="43" fontId="0" fillId="0" borderId="138" xfId="45" applyFont="1" applyFill="1" applyBorder="1" applyAlignment="1" applyProtection="1">
      <alignment vertical="center" wrapText="1"/>
      <protection hidden="1"/>
    </xf>
    <xf numFmtId="43" fontId="0" fillId="0" borderId="131" xfId="45" applyFont="1" applyFill="1" applyBorder="1" applyAlignment="1" applyProtection="1">
      <alignment vertical="center" wrapText="1"/>
      <protection hidden="1"/>
    </xf>
    <xf numFmtId="43" fontId="0" fillId="0" borderId="147" xfId="45" applyFont="1" applyFill="1" applyBorder="1" applyAlignment="1" applyProtection="1">
      <alignment vertical="center" wrapText="1"/>
      <protection hidden="1"/>
    </xf>
    <xf numFmtId="43" fontId="0" fillId="0" borderId="101" xfId="45" applyFont="1" applyFill="1" applyBorder="1" applyAlignment="1" applyProtection="1">
      <alignment vertical="center" wrapText="1"/>
      <protection hidden="1"/>
    </xf>
    <xf numFmtId="43" fontId="0" fillId="0" borderId="105" xfId="45" applyFont="1" applyFill="1" applyBorder="1" applyAlignment="1" applyProtection="1">
      <alignment vertical="center" wrapText="1"/>
      <protection hidden="1"/>
    </xf>
    <xf numFmtId="43" fontId="0" fillId="0" borderId="133" xfId="45" applyFont="1" applyFill="1" applyBorder="1" applyAlignment="1" applyProtection="1">
      <alignment vertical="center" wrapText="1"/>
      <protection hidden="1"/>
    </xf>
    <xf numFmtId="0" fontId="0" fillId="0" borderId="182" xfId="0" applyFont="1" applyFill="1" applyBorder="1" applyAlignment="1" applyProtection="1">
      <alignment vertical="center" wrapText="1"/>
      <protection hidden="1"/>
    </xf>
    <xf numFmtId="43" fontId="0" fillId="0" borderId="84" xfId="45" applyFont="1" applyFill="1" applyBorder="1" applyAlignment="1" applyProtection="1">
      <alignment vertical="center" wrapText="1"/>
      <protection hidden="1"/>
    </xf>
    <xf numFmtId="43" fontId="0" fillId="0" borderId="183" xfId="45" applyFont="1" applyFill="1" applyBorder="1" applyAlignment="1" applyProtection="1">
      <alignment vertical="center" wrapText="1"/>
      <protection hidden="1"/>
    </xf>
    <xf numFmtId="0" fontId="0" fillId="0" borderId="130" xfId="0" applyFont="1" applyFill="1" applyBorder="1" applyAlignment="1" applyProtection="1">
      <alignment vertical="center" wrapText="1"/>
      <protection hidden="1"/>
    </xf>
    <xf numFmtId="43" fontId="0" fillId="0" borderId="184" xfId="45" applyFont="1" applyFill="1" applyBorder="1" applyAlignment="1" applyProtection="1">
      <alignment vertical="center" wrapText="1"/>
      <protection hidden="1"/>
    </xf>
    <xf numFmtId="43" fontId="0" fillId="0" borderId="161" xfId="45" applyFont="1" applyFill="1" applyBorder="1" applyAlignment="1" applyProtection="1">
      <alignment vertical="center" wrapText="1"/>
      <protection hidden="1"/>
    </xf>
    <xf numFmtId="0" fontId="0" fillId="0" borderId="85" xfId="0" applyFont="1" applyFill="1" applyBorder="1" applyAlignment="1" applyProtection="1">
      <alignment vertical="center" wrapText="1"/>
      <protection hidden="1"/>
    </xf>
    <xf numFmtId="43" fontId="0" fillId="35" borderId="0" xfId="45" applyFont="1" applyFill="1" applyAlignment="1" applyProtection="1">
      <alignment vertical="center" wrapText="1"/>
      <protection hidden="1"/>
    </xf>
    <xf numFmtId="43" fontId="118" fillId="0" borderId="82" xfId="45" applyFont="1" applyFill="1" applyBorder="1" applyAlignment="1" applyProtection="1">
      <alignment vertical="center" wrapText="1"/>
      <protection hidden="1"/>
    </xf>
    <xf numFmtId="43" fontId="118" fillId="0" borderId="0" xfId="45" applyFont="1" applyFill="1" applyBorder="1" applyAlignment="1" applyProtection="1">
      <alignment vertical="center" wrapText="1"/>
      <protection hidden="1"/>
    </xf>
    <xf numFmtId="43" fontId="4" fillId="35" borderId="165" xfId="45" applyFont="1" applyFill="1" applyBorder="1" applyAlignment="1" applyProtection="1">
      <alignment vertical="center" wrapText="1"/>
      <protection hidden="1"/>
    </xf>
    <xf numFmtId="0" fontId="17" fillId="0" borderId="0" xfId="0" applyFont="1" applyAlignment="1">
      <alignment horizontal="right"/>
    </xf>
    <xf numFmtId="0" fontId="17" fillId="0" borderId="0" xfId="0" applyFont="1" applyAlignment="1">
      <alignment horizontal="center"/>
    </xf>
    <xf numFmtId="0" fontId="0" fillId="0" borderId="0" xfId="0" applyAlignment="1">
      <alignment horizontal="center"/>
    </xf>
    <xf numFmtId="0" fontId="17" fillId="0" borderId="80" xfId="0" applyFont="1" applyBorder="1" applyAlignment="1">
      <alignment horizontal="center" vertical="center" wrapText="1"/>
    </xf>
    <xf numFmtId="0" fontId="17" fillId="0" borderId="81" xfId="0" applyFont="1" applyBorder="1" applyAlignment="1">
      <alignment horizontal="center" vertical="center" wrapText="1"/>
    </xf>
    <xf numFmtId="0" fontId="0" fillId="0" borderId="185" xfId="0" applyBorder="1" applyAlignment="1">
      <alignment horizontal="left"/>
    </xf>
    <xf numFmtId="0" fontId="0" fillId="0" borderId="12" xfId="0" applyBorder="1" applyAlignment="1">
      <alignment horizontal="center"/>
    </xf>
    <xf numFmtId="0" fontId="16" fillId="0" borderId="186" xfId="0" applyFont="1" applyBorder="1" applyAlignment="1">
      <alignment horizontal="left"/>
    </xf>
    <xf numFmtId="0" fontId="0" fillId="0" borderId="14" xfId="0" applyBorder="1" applyAlignment="1">
      <alignment horizontal="center"/>
    </xf>
    <xf numFmtId="0" fontId="0" fillId="0" borderId="185" xfId="0" applyBorder="1" applyAlignment="1">
      <alignment/>
    </xf>
    <xf numFmtId="0" fontId="0" fillId="0" borderId="27" xfId="0" applyBorder="1" applyAlignment="1">
      <alignment/>
    </xf>
    <xf numFmtId="0" fontId="0" fillId="0" borderId="187" xfId="0" applyBorder="1" applyAlignment="1">
      <alignment/>
    </xf>
    <xf numFmtId="0" fontId="0" fillId="0" borderId="11" xfId="0" applyBorder="1" applyAlignment="1">
      <alignment horizontal="center"/>
    </xf>
    <xf numFmtId="2" fontId="0" fillId="0" borderId="11" xfId="0" applyNumberFormat="1" applyBorder="1" applyAlignment="1">
      <alignment horizontal="center"/>
    </xf>
    <xf numFmtId="2" fontId="0" fillId="0" borderId="79" xfId="0" applyNumberFormat="1" applyBorder="1" applyAlignment="1">
      <alignment horizontal="center"/>
    </xf>
    <xf numFmtId="0" fontId="0" fillId="0" borderId="187" xfId="0" applyBorder="1" applyAlignment="1">
      <alignment wrapText="1"/>
    </xf>
    <xf numFmtId="0" fontId="120" fillId="0" borderId="187" xfId="0" applyFont="1" applyBorder="1" applyAlignment="1">
      <alignment/>
    </xf>
    <xf numFmtId="0" fontId="120" fillId="0" borderId="11" xfId="0" applyFont="1" applyBorder="1" applyAlignment="1">
      <alignment horizontal="center"/>
    </xf>
    <xf numFmtId="0" fontId="120" fillId="0" borderId="0" xfId="0" applyFont="1" applyAlignment="1">
      <alignment/>
    </xf>
    <xf numFmtId="0" fontId="0" fillId="36" borderId="187" xfId="0" applyFill="1" applyBorder="1" applyAlignment="1">
      <alignment wrapText="1"/>
    </xf>
    <xf numFmtId="0" fontId="115" fillId="0" borderId="187" xfId="0" applyFont="1" applyBorder="1" applyAlignment="1">
      <alignment horizontal="right"/>
    </xf>
    <xf numFmtId="0" fontId="115" fillId="0" borderId="11" xfId="0" applyFont="1" applyBorder="1" applyAlignment="1">
      <alignment horizontal="center"/>
    </xf>
    <xf numFmtId="0" fontId="115" fillId="0" borderId="0" xfId="0" applyFont="1" applyAlignment="1">
      <alignment/>
    </xf>
    <xf numFmtId="0" fontId="0" fillId="0" borderId="186" xfId="0" applyBorder="1" applyAlignment="1">
      <alignment/>
    </xf>
    <xf numFmtId="0" fontId="0" fillId="0" borderId="30" xfId="0" applyBorder="1" applyAlignment="1">
      <alignment/>
    </xf>
    <xf numFmtId="2" fontId="0" fillId="0" borderId="14" xfId="0" applyNumberFormat="1" applyBorder="1" applyAlignment="1">
      <alignment horizontal="center"/>
    </xf>
    <xf numFmtId="2" fontId="0" fillId="0" borderId="188" xfId="0" applyNumberFormat="1" applyBorder="1" applyAlignment="1">
      <alignment horizontal="center"/>
    </xf>
    <xf numFmtId="2" fontId="0" fillId="0" borderId="12" xfId="0" applyNumberFormat="1" applyBorder="1" applyAlignment="1">
      <alignment horizontal="center"/>
    </xf>
    <xf numFmtId="2" fontId="0" fillId="0" borderId="189" xfId="0" applyNumberFormat="1" applyBorder="1" applyAlignment="1">
      <alignment horizontal="center"/>
    </xf>
    <xf numFmtId="0" fontId="115" fillId="0" borderId="190" xfId="0" applyFont="1" applyBorder="1" applyAlignment="1">
      <alignment horizontal="right"/>
    </xf>
    <xf numFmtId="0" fontId="0" fillId="0" borderId="28" xfId="0" applyBorder="1" applyAlignment="1">
      <alignment horizontal="center"/>
    </xf>
    <xf numFmtId="0" fontId="0" fillId="0" borderId="36" xfId="0" applyBorder="1" applyAlignment="1">
      <alignment/>
    </xf>
    <xf numFmtId="0" fontId="0" fillId="0" borderId="49" xfId="0" applyBorder="1" applyAlignment="1">
      <alignment/>
    </xf>
    <xf numFmtId="0" fontId="0" fillId="0" borderId="0" xfId="0" applyAlignment="1">
      <alignment horizontal="left"/>
    </xf>
    <xf numFmtId="0" fontId="16" fillId="0" borderId="48" xfId="0" applyFont="1" applyBorder="1" applyAlignment="1">
      <alignment horizontal="left"/>
    </xf>
    <xf numFmtId="0" fontId="0" fillId="0" borderId="31" xfId="0" applyBorder="1" applyAlignment="1">
      <alignment/>
    </xf>
    <xf numFmtId="0" fontId="0" fillId="0" borderId="35" xfId="0" applyBorder="1" applyAlignment="1">
      <alignment/>
    </xf>
    <xf numFmtId="0" fontId="16" fillId="0" borderId="12" xfId="0" applyFont="1" applyBorder="1" applyAlignment="1">
      <alignment horizontal="center"/>
    </xf>
    <xf numFmtId="0" fontId="115" fillId="0" borderId="48" xfId="0" applyFont="1" applyBorder="1" applyAlignment="1">
      <alignment/>
    </xf>
    <xf numFmtId="0" fontId="17" fillId="0" borderId="31" xfId="0" applyFont="1" applyBorder="1" applyAlignment="1">
      <alignment horizontal="center"/>
    </xf>
    <xf numFmtId="0" fontId="49" fillId="0" borderId="0" xfId="0" applyFont="1" applyAlignment="1">
      <alignment horizontal="right"/>
    </xf>
    <xf numFmtId="0" fontId="49" fillId="0" borderId="0" xfId="0" applyFont="1" applyAlignment="1">
      <alignment/>
    </xf>
    <xf numFmtId="0" fontId="50" fillId="0" borderId="0" xfId="0" applyFont="1" applyAlignment="1">
      <alignment horizontal="right"/>
    </xf>
    <xf numFmtId="0" fontId="50" fillId="0" borderId="0" xfId="0" applyFont="1" applyAlignment="1">
      <alignment wrapText="1"/>
    </xf>
    <xf numFmtId="0" fontId="17" fillId="0" borderId="36" xfId="0" applyFont="1" applyBorder="1" applyAlignment="1">
      <alignment horizontal="center"/>
    </xf>
    <xf numFmtId="0" fontId="22" fillId="0" borderId="36" xfId="0" applyFont="1" applyBorder="1" applyAlignment="1">
      <alignment horizontal="center"/>
    </xf>
    <xf numFmtId="0" fontId="115" fillId="0" borderId="191" xfId="0" applyFont="1" applyBorder="1" applyAlignment="1">
      <alignment/>
    </xf>
    <xf numFmtId="0" fontId="20" fillId="0" borderId="192" xfId="0" applyFont="1" applyBorder="1" applyAlignment="1">
      <alignment/>
    </xf>
    <xf numFmtId="0" fontId="0" fillId="0" borderId="193" xfId="0" applyBorder="1" applyAlignment="1">
      <alignment/>
    </xf>
    <xf numFmtId="0" fontId="51" fillId="0" borderId="194" xfId="0" applyFont="1" applyBorder="1" applyAlignment="1" quotePrefix="1">
      <alignment horizontal="center"/>
    </xf>
    <xf numFmtId="0" fontId="22" fillId="0" borderId="32" xfId="0" applyFont="1" applyBorder="1" applyAlignment="1">
      <alignment wrapText="1"/>
    </xf>
    <xf numFmtId="0" fontId="20" fillId="0" borderId="0" xfId="0" applyFont="1" applyAlignment="1">
      <alignment/>
    </xf>
    <xf numFmtId="0" fontId="32" fillId="0" borderId="195" xfId="0" applyFont="1" applyBorder="1" applyAlignment="1" quotePrefix="1">
      <alignment horizontal="center"/>
    </xf>
    <xf numFmtId="0" fontId="51" fillId="0" borderId="194" xfId="0" applyFont="1" applyBorder="1" applyAlignment="1">
      <alignment horizontal="center"/>
    </xf>
    <xf numFmtId="0" fontId="32" fillId="0" borderId="196" xfId="0" applyFont="1" applyBorder="1" applyAlignment="1" quotePrefix="1">
      <alignment horizontal="center"/>
    </xf>
    <xf numFmtId="0" fontId="20" fillId="0" borderId="197" xfId="0" applyFont="1" applyBorder="1" applyAlignment="1">
      <alignment horizontal="right"/>
    </xf>
    <xf numFmtId="185" fontId="16" fillId="0" borderId="198" xfId="45" applyNumberFormat="1" applyFont="1" applyFill="1" applyBorder="1" applyAlignment="1">
      <alignment horizontal="center"/>
    </xf>
    <xf numFmtId="0" fontId="0" fillId="0" borderId="199" xfId="0" applyBorder="1" applyAlignment="1">
      <alignment/>
    </xf>
    <xf numFmtId="0" fontId="0" fillId="0" borderId="187" xfId="0" applyBorder="1" applyAlignment="1">
      <alignment horizontal="left" wrapText="1"/>
    </xf>
    <xf numFmtId="0" fontId="20" fillId="0" borderId="0" xfId="0" applyFont="1" applyAlignment="1">
      <alignment horizontal="left" wrapText="1"/>
    </xf>
    <xf numFmtId="0" fontId="0" fillId="0" borderId="79" xfId="0" applyBorder="1" applyAlignment="1">
      <alignment/>
    </xf>
    <xf numFmtId="0" fontId="17" fillId="0" borderId="187" xfId="0" applyFont="1" applyBorder="1" applyAlignment="1">
      <alignment/>
    </xf>
    <xf numFmtId="0" fontId="20" fillId="0" borderId="10" xfId="0" applyFont="1" applyBorder="1" applyAlignment="1">
      <alignment horizontal="left" wrapText="1"/>
    </xf>
    <xf numFmtId="0" fontId="20" fillId="36" borderId="10" xfId="0" applyFont="1" applyFill="1" applyBorder="1" applyAlignment="1">
      <alignment horizontal="left" wrapText="1"/>
    </xf>
    <xf numFmtId="0" fontId="22" fillId="0" borderId="0" xfId="0" applyFont="1" applyAlignment="1">
      <alignment horizontal="right"/>
    </xf>
    <xf numFmtId="2" fontId="17" fillId="0" borderId="78" xfId="0" applyNumberFormat="1" applyFont="1" applyBorder="1" applyAlignment="1">
      <alignment horizontal="center"/>
    </xf>
    <xf numFmtId="2" fontId="17" fillId="0" borderId="189" xfId="0" applyNumberFormat="1" applyFont="1" applyBorder="1" applyAlignment="1">
      <alignment horizontal="center"/>
    </xf>
    <xf numFmtId="0" fontId="115" fillId="0" borderId="187" xfId="0" applyFont="1" applyBorder="1" applyAlignment="1">
      <alignment/>
    </xf>
    <xf numFmtId="2" fontId="17" fillId="0" borderId="188" xfId="0" applyNumberFormat="1" applyFont="1" applyBorder="1" applyAlignment="1">
      <alignment horizontal="center"/>
    </xf>
    <xf numFmtId="0" fontId="20" fillId="36" borderId="0" xfId="0" applyFont="1" applyFill="1" applyAlignment="1">
      <alignment horizontal="right"/>
    </xf>
    <xf numFmtId="2" fontId="16" fillId="0" borderId="78" xfId="0" applyNumberFormat="1" applyFont="1" applyBorder="1" applyAlignment="1">
      <alignment horizontal="center"/>
    </xf>
    <xf numFmtId="0" fontId="20" fillId="0" borderId="192" xfId="0" applyFont="1" applyBorder="1" applyAlignment="1">
      <alignment horizontal="right"/>
    </xf>
    <xf numFmtId="0" fontId="22" fillId="0" borderId="193" xfId="0" applyFont="1" applyBorder="1" applyAlignment="1">
      <alignment horizontal="left" wrapText="1"/>
    </xf>
    <xf numFmtId="0" fontId="22" fillId="0" borderId="200" xfId="0" applyFont="1" applyBorder="1" applyAlignment="1">
      <alignment horizontal="left" wrapText="1"/>
    </xf>
    <xf numFmtId="2" fontId="17" fillId="0" borderId="198" xfId="0" applyNumberFormat="1" applyFont="1" applyBorder="1" applyAlignment="1">
      <alignment horizontal="center"/>
    </xf>
    <xf numFmtId="0" fontId="0" fillId="0" borderId="170" xfId="0" applyBorder="1" applyAlignment="1">
      <alignment horizontal="center" vertical="top"/>
    </xf>
    <xf numFmtId="0" fontId="20" fillId="0" borderId="170" xfId="0" applyFont="1" applyBorder="1" applyAlignment="1">
      <alignment/>
    </xf>
    <xf numFmtId="0" fontId="0" fillId="0" borderId="170" xfId="0" applyBorder="1" applyAlignment="1">
      <alignment/>
    </xf>
    <xf numFmtId="0" fontId="121" fillId="0" borderId="0" xfId="0" applyFont="1" applyAlignment="1" quotePrefix="1">
      <alignment horizontal="center" vertical="center"/>
    </xf>
    <xf numFmtId="0" fontId="122" fillId="36" borderId="0" xfId="0" applyFont="1" applyFill="1" applyAlignment="1" quotePrefix="1">
      <alignment horizontal="center" vertical="center"/>
    </xf>
    <xf numFmtId="0" fontId="20" fillId="0" borderId="0" xfId="0" applyFont="1" applyAlignment="1">
      <alignment vertical="center" wrapText="1"/>
    </xf>
    <xf numFmtId="0" fontId="0" fillId="0" borderId="0" xfId="0" applyAlignment="1">
      <alignment wrapText="1"/>
    </xf>
    <xf numFmtId="0" fontId="64" fillId="0" borderId="31" xfId="0" applyFont="1" applyBorder="1" applyAlignment="1">
      <alignment horizontal="center" vertical="center" wrapText="1"/>
    </xf>
    <xf numFmtId="0" fontId="65" fillId="0" borderId="31" xfId="0" applyFont="1" applyBorder="1" applyAlignment="1">
      <alignment horizontal="center" vertical="center" wrapText="1"/>
    </xf>
    <xf numFmtId="0" fontId="123" fillId="0" borderId="31" xfId="0" applyFont="1" applyBorder="1" applyAlignment="1">
      <alignment horizontal="left" vertical="center"/>
    </xf>
    <xf numFmtId="0" fontId="124" fillId="0" borderId="31" xfId="0" applyFont="1" applyBorder="1" applyAlignment="1">
      <alignment horizontal="center" vertical="center"/>
    </xf>
    <xf numFmtId="0" fontId="124" fillId="0" borderId="31" xfId="0" applyFont="1" applyBorder="1" applyAlignment="1">
      <alignment horizontal="center" vertical="center" wrapText="1"/>
    </xf>
    <xf numFmtId="0" fontId="123" fillId="0" borderId="31" xfId="0" applyFont="1" applyBorder="1" applyAlignment="1">
      <alignment vertical="center"/>
    </xf>
    <xf numFmtId="0" fontId="123" fillId="0" borderId="31" xfId="0" applyFont="1" applyBorder="1" applyAlignment="1">
      <alignment horizontal="center" vertical="center"/>
    </xf>
    <xf numFmtId="0" fontId="123" fillId="13" borderId="31" xfId="0" applyFont="1" applyFill="1" applyBorder="1" applyAlignment="1">
      <alignment horizontal="center" vertical="center"/>
    </xf>
    <xf numFmtId="0" fontId="125" fillId="0" borderId="31" xfId="0" applyFont="1" applyBorder="1" applyAlignment="1">
      <alignment/>
    </xf>
    <xf numFmtId="0" fontId="0" fillId="0" borderId="31" xfId="0" applyBorder="1" applyAlignment="1">
      <alignment horizontal="center"/>
    </xf>
    <xf numFmtId="0" fontId="123" fillId="13" borderId="31" xfId="0" applyFont="1" applyFill="1" applyBorder="1" applyAlignment="1">
      <alignment vertical="center"/>
    </xf>
    <xf numFmtId="0" fontId="126" fillId="0" borderId="31" xfId="0" applyFont="1" applyBorder="1" applyAlignment="1">
      <alignment horizontal="left" vertical="center"/>
    </xf>
    <xf numFmtId="0" fontId="50" fillId="0" borderId="0" xfId="0" applyFont="1" applyAlignment="1">
      <alignment vertical="center"/>
    </xf>
    <xf numFmtId="0" fontId="72" fillId="0" borderId="0" xfId="0" applyFont="1" applyAlignment="1">
      <alignment vertical="center"/>
    </xf>
    <xf numFmtId="0" fontId="123" fillId="0" borderId="31" xfId="0" applyFont="1" applyBorder="1" applyAlignment="1">
      <alignment horizontal="left" vertical="center" wrapText="1"/>
    </xf>
    <xf numFmtId="0" fontId="123" fillId="0" borderId="31" xfId="0" applyFont="1" applyBorder="1" applyAlignment="1">
      <alignment horizontal="right" vertical="center"/>
    </xf>
    <xf numFmtId="0" fontId="0" fillId="0" borderId="53" xfId="0" applyBorder="1" applyAlignment="1">
      <alignment/>
    </xf>
    <xf numFmtId="0" fontId="0" fillId="0" borderId="13" xfId="0" applyBorder="1" applyAlignment="1">
      <alignment/>
    </xf>
    <xf numFmtId="0" fontId="0" fillId="0" borderId="10" xfId="0" applyBorder="1" applyAlignment="1">
      <alignment/>
    </xf>
    <xf numFmtId="0" fontId="126" fillId="0" borderId="31" xfId="0" applyFont="1" applyBorder="1" applyAlignment="1">
      <alignment horizontal="center" vertical="center"/>
    </xf>
    <xf numFmtId="0" fontId="0" fillId="0" borderId="15" xfId="0" applyBorder="1" applyAlignment="1">
      <alignment/>
    </xf>
    <xf numFmtId="0" fontId="124" fillId="0" borderId="0" xfId="0" applyFont="1" applyAlignment="1">
      <alignment vertical="center" wrapText="1"/>
    </xf>
    <xf numFmtId="0" fontId="127" fillId="0" borderId="31" xfId="0" applyFont="1" applyBorder="1" applyAlignment="1">
      <alignment horizontal="center" vertical="center" wrapText="1"/>
    </xf>
    <xf numFmtId="0" fontId="125" fillId="0" borderId="31" xfId="0" applyFont="1" applyBorder="1" applyAlignment="1">
      <alignment vertical="center"/>
    </xf>
    <xf numFmtId="0" fontId="128" fillId="0" borderId="31" xfId="0" applyFont="1" applyBorder="1" applyAlignment="1">
      <alignment horizontal="center" vertical="center"/>
    </xf>
    <xf numFmtId="0" fontId="128" fillId="0" borderId="31" xfId="0" applyFont="1" applyBorder="1" applyAlignment="1">
      <alignment horizontal="center" vertical="center" wrapText="1"/>
    </xf>
    <xf numFmtId="0" fontId="123" fillId="0" borderId="0" xfId="0" applyFont="1" applyAlignment="1">
      <alignment horizontal="center" vertical="center"/>
    </xf>
    <xf numFmtId="0" fontId="0" fillId="0" borderId="88" xfId="0" applyFont="1" applyFill="1" applyBorder="1" applyAlignment="1" applyProtection="1">
      <alignment horizontal="center" vertical="center" wrapText="1"/>
      <protection hidden="1"/>
    </xf>
    <xf numFmtId="0" fontId="0" fillId="35" borderId="84" xfId="0" applyFont="1" applyFill="1" applyBorder="1" applyAlignment="1" applyProtection="1">
      <alignment horizontal="center" vertical="center" wrapText="1"/>
      <protection hidden="1"/>
    </xf>
    <xf numFmtId="43" fontId="0" fillId="35" borderId="174" xfId="45" applyFont="1" applyFill="1" applyBorder="1" applyAlignment="1" applyProtection="1">
      <alignment vertical="center" wrapText="1"/>
      <protection hidden="1"/>
    </xf>
    <xf numFmtId="0" fontId="0" fillId="35" borderId="119" xfId="0" applyFont="1" applyFill="1" applyBorder="1" applyAlignment="1" applyProtection="1">
      <alignment vertical="center" wrapText="1"/>
      <protection hidden="1"/>
    </xf>
    <xf numFmtId="0" fontId="0" fillId="0" borderId="130" xfId="0" applyFont="1" applyFill="1" applyBorder="1" applyAlignment="1" applyProtection="1">
      <alignment vertical="center" wrapText="1"/>
      <protection hidden="1"/>
    </xf>
    <xf numFmtId="0" fontId="4" fillId="35" borderId="151" xfId="0" applyFont="1" applyFill="1" applyBorder="1" applyAlignment="1" applyProtection="1" quotePrefix="1">
      <alignment horizontal="center" vertical="center" wrapText="1"/>
      <protection hidden="1"/>
    </xf>
    <xf numFmtId="43" fontId="0" fillId="35" borderId="106" xfId="45" applyFont="1" applyFill="1" applyBorder="1" applyAlignment="1" applyProtection="1">
      <alignment vertical="center" wrapText="1"/>
      <protection hidden="1"/>
    </xf>
    <xf numFmtId="43" fontId="0" fillId="0" borderId="76" xfId="45" applyFont="1" applyFill="1" applyBorder="1" applyAlignment="1" applyProtection="1">
      <alignment horizontal="right" vertical="center" wrapText="1"/>
      <protection hidden="1"/>
    </xf>
    <xf numFmtId="43" fontId="0" fillId="38" borderId="84" xfId="45" applyFont="1" applyFill="1" applyBorder="1" applyAlignment="1" applyProtection="1">
      <alignment vertical="center" wrapText="1"/>
      <protection locked="0"/>
    </xf>
    <xf numFmtId="43" fontId="0" fillId="38" borderId="76" xfId="45" applyFont="1" applyFill="1" applyBorder="1" applyAlignment="1" applyProtection="1">
      <alignment vertical="center" wrapText="1"/>
      <protection locked="0"/>
    </xf>
    <xf numFmtId="0" fontId="0" fillId="35" borderId="76" xfId="0" applyFont="1" applyFill="1" applyBorder="1" applyAlignment="1" applyProtection="1" quotePrefix="1">
      <alignment horizontal="center" vertical="center" wrapText="1"/>
      <protection hidden="1"/>
    </xf>
    <xf numFmtId="43" fontId="0" fillId="0" borderId="152" xfId="45" applyFont="1" applyFill="1" applyBorder="1" applyAlignment="1" applyProtection="1">
      <alignment vertical="center" wrapText="1"/>
      <protection hidden="1"/>
    </xf>
    <xf numFmtId="165" fontId="0" fillId="0" borderId="155" xfId="45" applyNumberFormat="1" applyFont="1" applyFill="1" applyBorder="1" applyAlignment="1" applyProtection="1">
      <alignment vertical="center" wrapText="1"/>
      <protection hidden="1"/>
    </xf>
    <xf numFmtId="0" fontId="0" fillId="0" borderId="109" xfId="0" applyFont="1" applyFill="1" applyBorder="1" applyAlignment="1" applyProtection="1">
      <alignment horizontal="center" vertical="center" wrapText="1"/>
      <protection locked="0"/>
    </xf>
    <xf numFmtId="43" fontId="0" fillId="0" borderId="139" xfId="45" applyFont="1" applyFill="1" applyBorder="1" applyAlignment="1" applyProtection="1">
      <alignment vertical="center" wrapText="1"/>
      <protection hidden="1"/>
    </xf>
    <xf numFmtId="43" fontId="0" fillId="0" borderId="201" xfId="45" applyFont="1" applyFill="1" applyBorder="1" applyAlignment="1" applyProtection="1">
      <alignment vertical="center" wrapText="1"/>
      <protection hidden="1"/>
    </xf>
    <xf numFmtId="43" fontId="0" fillId="0" borderId="13" xfId="45" applyFont="1" applyBorder="1" applyAlignment="1">
      <alignment horizontal="center"/>
    </xf>
    <xf numFmtId="43" fontId="0" fillId="0" borderId="12" xfId="45" applyFont="1" applyBorder="1" applyAlignment="1">
      <alignment/>
    </xf>
    <xf numFmtId="43" fontId="0" fillId="0" borderId="189" xfId="45" applyFont="1" applyBorder="1" applyAlignment="1">
      <alignment/>
    </xf>
    <xf numFmtId="43" fontId="20" fillId="0" borderId="14" xfId="45" applyFont="1" applyBorder="1" applyAlignment="1">
      <alignment horizontal="center" vertical="center" wrapText="1"/>
    </xf>
    <xf numFmtId="43" fontId="0" fillId="0" borderId="14" xfId="45" applyFont="1" applyBorder="1" applyAlignment="1">
      <alignment/>
    </xf>
    <xf numFmtId="43" fontId="0" fillId="0" borderId="188" xfId="45" applyFont="1" applyBorder="1" applyAlignment="1">
      <alignment/>
    </xf>
    <xf numFmtId="43" fontId="0" fillId="0" borderId="27" xfId="45" applyFont="1" applyBorder="1" applyAlignment="1">
      <alignment/>
    </xf>
    <xf numFmtId="43" fontId="0" fillId="0" borderId="0" xfId="45" applyFont="1" applyAlignment="1">
      <alignment/>
    </xf>
    <xf numFmtId="43" fontId="0" fillId="0" borderId="11" xfId="45" applyFont="1" applyBorder="1" applyAlignment="1">
      <alignment horizontal="center"/>
    </xf>
    <xf numFmtId="43" fontId="0" fillId="0" borderId="79" xfId="45" applyFont="1" applyBorder="1" applyAlignment="1">
      <alignment horizontal="center"/>
    </xf>
    <xf numFmtId="43" fontId="0" fillId="0" borderId="35" xfId="45" applyFont="1" applyBorder="1" applyAlignment="1">
      <alignment horizontal="center"/>
    </xf>
    <xf numFmtId="43" fontId="120" fillId="0" borderId="11" xfId="45" applyFont="1" applyBorder="1" applyAlignment="1">
      <alignment horizontal="center"/>
    </xf>
    <xf numFmtId="43" fontId="120" fillId="0" borderId="79" xfId="45" applyFont="1" applyBorder="1" applyAlignment="1">
      <alignment horizontal="center"/>
    </xf>
    <xf numFmtId="43" fontId="115" fillId="0" borderId="11" xfId="45" applyFont="1" applyBorder="1" applyAlignment="1">
      <alignment horizontal="center"/>
    </xf>
    <xf numFmtId="43" fontId="115" fillId="0" borderId="79" xfId="45" applyFont="1" applyBorder="1" applyAlignment="1">
      <alignment horizontal="center"/>
    </xf>
    <xf numFmtId="43" fontId="0" fillId="0" borderId="14" xfId="45" applyFont="1" applyBorder="1" applyAlignment="1">
      <alignment horizontal="center"/>
    </xf>
    <xf numFmtId="43" fontId="0" fillId="0" borderId="188" xfId="45" applyFont="1" applyBorder="1" applyAlignment="1">
      <alignment horizontal="center"/>
    </xf>
    <xf numFmtId="43" fontId="115" fillId="0" borderId="28" xfId="45" applyFont="1" applyBorder="1" applyAlignment="1">
      <alignment horizontal="center"/>
    </xf>
    <xf numFmtId="43" fontId="115" fillId="0" borderId="202" xfId="45" applyFont="1" applyBorder="1" applyAlignment="1">
      <alignment horizontal="center"/>
    </xf>
    <xf numFmtId="43" fontId="20" fillId="0" borderId="31" xfId="45" applyFont="1" applyFill="1" applyBorder="1" applyAlignment="1">
      <alignment horizontal="center" vertical="center" wrapText="1"/>
    </xf>
    <xf numFmtId="43" fontId="22" fillId="0" borderId="31" xfId="45" applyFont="1" applyFill="1" applyBorder="1" applyAlignment="1">
      <alignment horizontal="center" vertical="center" wrapText="1"/>
    </xf>
    <xf numFmtId="0" fontId="0" fillId="0" borderId="187" xfId="0" applyFont="1" applyBorder="1" applyAlignment="1">
      <alignment wrapText="1"/>
    </xf>
    <xf numFmtId="0" fontId="0" fillId="0" borderId="101" xfId="0" applyFont="1" applyFill="1" applyBorder="1" applyAlignment="1" applyProtection="1">
      <alignment horizontal="center" vertical="center" wrapText="1"/>
      <protection locked="0"/>
    </xf>
    <xf numFmtId="0" fontId="15" fillId="0" borderId="77" xfId="0" applyFont="1" applyFill="1" applyBorder="1" applyAlignment="1">
      <alignment horizontal="center" vertical="center"/>
    </xf>
    <xf numFmtId="0" fontId="98" fillId="0" borderId="77" xfId="49" applyFont="1" applyFill="1" applyBorder="1" applyAlignment="1">
      <alignment vertical="center" wrapText="1"/>
      <protection/>
    </xf>
    <xf numFmtId="43" fontId="0" fillId="0" borderId="102" xfId="45" applyFont="1" applyFill="1" applyBorder="1" applyAlignment="1" applyProtection="1">
      <alignment vertical="center" wrapText="1"/>
      <protection locked="0"/>
    </xf>
    <xf numFmtId="0" fontId="98" fillId="0" borderId="77" xfId="50" applyFont="1" applyFill="1" applyBorder="1" applyAlignment="1">
      <alignment vertical="center" wrapText="1"/>
      <protection/>
    </xf>
    <xf numFmtId="0" fontId="4" fillId="0" borderId="23" xfId="0" applyFont="1" applyFill="1" applyBorder="1" applyAlignment="1" applyProtection="1">
      <alignment horizontal="center" vertical="center" wrapText="1"/>
      <protection hidden="1"/>
    </xf>
    <xf numFmtId="43" fontId="0" fillId="0" borderId="32" xfId="45" applyFont="1" applyFill="1" applyBorder="1" applyAlignment="1" applyProtection="1">
      <alignment vertical="center" wrapText="1"/>
      <protection hidden="1"/>
    </xf>
    <xf numFmtId="43" fontId="0" fillId="0" borderId="30" xfId="45" applyFont="1" applyFill="1" applyBorder="1" applyAlignment="1" applyProtection="1">
      <alignment vertical="center" wrapText="1"/>
      <protection hidden="1"/>
    </xf>
    <xf numFmtId="0" fontId="4" fillId="0" borderId="150" xfId="0" applyFont="1" applyFill="1" applyBorder="1" applyAlignment="1" applyProtection="1">
      <alignment horizontal="center" vertical="center" wrapText="1"/>
      <protection hidden="1"/>
    </xf>
    <xf numFmtId="0" fontId="4" fillId="0" borderId="151" xfId="0" applyFont="1" applyFill="1" applyBorder="1" applyAlignment="1" applyProtection="1" quotePrefix="1">
      <alignment horizontal="center" vertical="center" wrapText="1"/>
      <protection hidden="1"/>
    </xf>
    <xf numFmtId="0" fontId="0" fillId="0" borderId="151" xfId="0" applyFont="1" applyFill="1" applyBorder="1" applyAlignment="1" applyProtection="1">
      <alignment horizontal="center" vertical="center" wrapText="1"/>
      <protection hidden="1"/>
    </xf>
    <xf numFmtId="0" fontId="0" fillId="0" borderId="152" xfId="0" applyFont="1" applyFill="1" applyBorder="1" applyAlignment="1" applyProtection="1">
      <alignment vertical="center" wrapText="1"/>
      <protection hidden="1"/>
    </xf>
    <xf numFmtId="43" fontId="0" fillId="0" borderId="151" xfId="45" applyFont="1" applyFill="1" applyBorder="1" applyAlignment="1" applyProtection="1">
      <alignment vertical="center" wrapText="1"/>
      <protection hidden="1"/>
    </xf>
    <xf numFmtId="43" fontId="0" fillId="0" borderId="152" xfId="45" applyFont="1" applyFill="1" applyBorder="1" applyAlignment="1" applyProtection="1">
      <alignment vertical="center" wrapText="1"/>
      <protection hidden="1"/>
    </xf>
    <xf numFmtId="43" fontId="0" fillId="39" borderId="100" xfId="45" applyFont="1" applyFill="1" applyBorder="1" applyAlignment="1" applyProtection="1">
      <alignment vertical="center" wrapText="1"/>
      <protection hidden="1"/>
    </xf>
    <xf numFmtId="43" fontId="0" fillId="39" borderId="100" xfId="45" applyFont="1" applyFill="1" applyBorder="1" applyAlignment="1" applyProtection="1">
      <alignment vertical="center" wrapText="1"/>
      <protection hidden="1"/>
    </xf>
    <xf numFmtId="43" fontId="0" fillId="39" borderId="30" xfId="45" applyFont="1" applyFill="1" applyBorder="1" applyAlignment="1" applyProtection="1">
      <alignment vertical="center" wrapText="1"/>
      <protection hidden="1"/>
    </xf>
    <xf numFmtId="43" fontId="0" fillId="39" borderId="0" xfId="45" applyFont="1" applyFill="1" applyBorder="1" applyAlignment="1" applyProtection="1">
      <alignment vertical="center" wrapText="1"/>
      <protection hidden="1"/>
    </xf>
    <xf numFmtId="0" fontId="0" fillId="0" borderId="100" xfId="0" applyFont="1" applyFill="1" applyBorder="1" applyAlignment="1" applyProtection="1">
      <alignment vertical="center" wrapText="1"/>
      <protection hidden="1"/>
    </xf>
    <xf numFmtId="43" fontId="0" fillId="39" borderId="151" xfId="45" applyFont="1" applyFill="1" applyBorder="1" applyAlignment="1" applyProtection="1">
      <alignment vertical="center" wrapText="1"/>
      <protection hidden="1"/>
    </xf>
    <xf numFmtId="43" fontId="0" fillId="0" borderId="118" xfId="45" applyFont="1" applyFill="1" applyBorder="1" applyAlignment="1" applyProtection="1">
      <alignment vertical="center" wrapText="1"/>
      <protection hidden="1"/>
    </xf>
    <xf numFmtId="43" fontId="0" fillId="0" borderId="203" xfId="45" applyFont="1" applyFill="1" applyBorder="1" applyAlignment="1" applyProtection="1">
      <alignment vertical="center" wrapText="1"/>
      <protection hidden="1"/>
    </xf>
    <xf numFmtId="0" fontId="0" fillId="0" borderId="23" xfId="0" applyFont="1" applyFill="1" applyBorder="1" applyAlignment="1" applyProtection="1">
      <alignment vertical="center" wrapText="1"/>
      <protection hidden="1"/>
    </xf>
    <xf numFmtId="0" fontId="4" fillId="0" borderId="23" xfId="0" applyFont="1" applyFill="1" applyBorder="1" applyAlignment="1" applyProtection="1">
      <alignment vertical="center" wrapText="1"/>
      <protection hidden="1"/>
    </xf>
    <xf numFmtId="43" fontId="26" fillId="0" borderId="174" xfId="45" applyFont="1" applyFill="1" applyBorder="1" applyAlignment="1" applyProtection="1">
      <alignment horizontal="center" vertical="center" wrapText="1"/>
      <protection hidden="1"/>
    </xf>
    <xf numFmtId="43" fontId="26" fillId="0" borderId="109" xfId="45" applyFont="1" applyFill="1" applyBorder="1" applyAlignment="1" applyProtection="1">
      <alignment horizontal="center" vertical="center" wrapText="1"/>
      <protection hidden="1"/>
    </xf>
    <xf numFmtId="43" fontId="26" fillId="0" borderId="0" xfId="45" applyFont="1" applyFill="1" applyBorder="1" applyAlignment="1" applyProtection="1">
      <alignment horizontal="center" vertical="center" wrapText="1"/>
      <protection hidden="1"/>
    </xf>
    <xf numFmtId="43" fontId="26" fillId="0" borderId="102" xfId="45" applyFont="1" applyFill="1" applyBorder="1" applyAlignment="1" applyProtection="1">
      <alignment horizontal="center" vertical="center" wrapText="1"/>
      <protection hidden="1"/>
    </xf>
    <xf numFmtId="43" fontId="26" fillId="0" borderId="144" xfId="45" applyFont="1" applyFill="1" applyBorder="1" applyAlignment="1" applyProtection="1">
      <alignment horizontal="center" vertical="center" wrapText="1"/>
      <protection hidden="1"/>
    </xf>
    <xf numFmtId="43" fontId="26" fillId="35" borderId="0" xfId="45" applyFont="1" applyFill="1" applyBorder="1" applyAlignment="1" applyProtection="1">
      <alignment horizontal="center" vertical="center" wrapText="1"/>
      <protection hidden="1"/>
    </xf>
    <xf numFmtId="43" fontId="26" fillId="35" borderId="144" xfId="45" applyFont="1" applyFill="1" applyBorder="1" applyAlignment="1" applyProtection="1">
      <alignment horizontal="center" vertical="center" wrapText="1"/>
      <protection hidden="1"/>
    </xf>
    <xf numFmtId="43" fontId="26" fillId="35" borderId="77" xfId="45" applyFont="1" applyFill="1" applyBorder="1" applyAlignment="1" applyProtection="1">
      <alignment horizontal="center" vertical="center" wrapText="1"/>
      <protection hidden="1"/>
    </xf>
    <xf numFmtId="43" fontId="0" fillId="0" borderId="166" xfId="45" applyFont="1" applyFill="1" applyBorder="1" applyAlignment="1" applyProtection="1">
      <alignment vertical="center" wrapText="1"/>
      <protection hidden="1"/>
    </xf>
    <xf numFmtId="0" fontId="0" fillId="0" borderId="76" xfId="0" applyFont="1" applyFill="1" applyBorder="1" applyAlignment="1" applyProtection="1">
      <alignment horizontal="center" vertical="center" wrapText="1"/>
      <protection locked="0"/>
    </xf>
    <xf numFmtId="165" fontId="0" fillId="35" borderId="0" xfId="0" applyNumberFormat="1" applyFont="1" applyFill="1" applyBorder="1" applyAlignment="1" applyProtection="1">
      <alignment vertical="center" wrapText="1"/>
      <protection locked="0"/>
    </xf>
    <xf numFmtId="0" fontId="0" fillId="0" borderId="151" xfId="0" applyFont="1" applyFill="1" applyBorder="1" applyAlignment="1" applyProtection="1" quotePrefix="1">
      <alignment horizontal="center" vertical="center" wrapText="1"/>
      <protection hidden="1"/>
    </xf>
    <xf numFmtId="43" fontId="0" fillId="0" borderId="0" xfId="45" applyFont="1" applyFill="1" applyAlignment="1" applyProtection="1">
      <alignment vertical="center" wrapText="1"/>
      <protection hidden="1"/>
    </xf>
    <xf numFmtId="43" fontId="118" fillId="35" borderId="0" xfId="45" applyFont="1" applyFill="1" applyAlignment="1" applyProtection="1">
      <alignment vertical="center" wrapText="1"/>
      <protection hidden="1"/>
    </xf>
    <xf numFmtId="43" fontId="118" fillId="0" borderId="0" xfId="45" applyFont="1" applyFill="1" applyBorder="1" applyAlignment="1" applyProtection="1">
      <alignment vertical="center" wrapText="1"/>
      <protection locked="0"/>
    </xf>
    <xf numFmtId="43" fontId="0" fillId="0" borderId="155" xfId="45" applyFont="1" applyFill="1" applyBorder="1" applyAlignment="1" applyProtection="1">
      <alignment vertical="center" wrapText="1"/>
      <protection locked="0"/>
    </xf>
    <xf numFmtId="43" fontId="0" fillId="0" borderId="154" xfId="45" applyFont="1" applyFill="1" applyBorder="1" applyAlignment="1" applyProtection="1">
      <alignment vertical="center" wrapText="1"/>
      <protection locked="0"/>
    </xf>
    <xf numFmtId="43" fontId="0" fillId="0" borderId="161" xfId="45" applyFont="1" applyFill="1" applyBorder="1" applyAlignment="1" applyProtection="1">
      <alignment vertical="center" wrapText="1"/>
      <protection locked="0"/>
    </xf>
    <xf numFmtId="43" fontId="0" fillId="0" borderId="162" xfId="45" applyFont="1" applyFill="1" applyBorder="1" applyAlignment="1" applyProtection="1">
      <alignment vertical="center" wrapText="1"/>
      <protection locked="0"/>
    </xf>
    <xf numFmtId="43" fontId="0" fillId="0" borderId="145" xfId="45" applyFont="1" applyFill="1" applyBorder="1" applyAlignment="1" applyProtection="1">
      <alignment vertical="center" wrapText="1"/>
      <protection hidden="1"/>
    </xf>
    <xf numFmtId="43" fontId="118" fillId="35" borderId="0" xfId="45" applyFont="1" applyFill="1" applyBorder="1" applyAlignment="1" applyProtection="1">
      <alignment vertical="center" wrapText="1"/>
      <protection hidden="1"/>
    </xf>
    <xf numFmtId="43" fontId="118" fillId="35" borderId="0" xfId="45" applyFont="1" applyFill="1" applyBorder="1" applyAlignment="1" applyProtection="1">
      <alignment horizontal="center" vertical="center" wrapText="1"/>
      <protection hidden="1"/>
    </xf>
    <xf numFmtId="0" fontId="0" fillId="0" borderId="83" xfId="0" applyFont="1" applyFill="1" applyBorder="1" applyAlignment="1" applyProtection="1">
      <alignment horizontal="center" vertical="center" wrapText="1"/>
      <protection hidden="1"/>
    </xf>
    <xf numFmtId="43" fontId="30" fillId="0" borderId="31" xfId="45" applyFont="1" applyFill="1" applyBorder="1" applyAlignment="1">
      <alignment horizontal="center" vertical="center"/>
    </xf>
    <xf numFmtId="43" fontId="4" fillId="0" borderId="104" xfId="0" applyNumberFormat="1" applyFont="1" applyFill="1" applyBorder="1" applyAlignment="1" applyProtection="1">
      <alignment vertical="center" wrapText="1"/>
      <protection locked="0"/>
    </xf>
    <xf numFmtId="43" fontId="0" fillId="0" borderId="85" xfId="45" applyFont="1" applyFill="1" applyBorder="1" applyAlignment="1" applyProtection="1">
      <alignment vertical="center" wrapText="1"/>
      <protection locked="0"/>
    </xf>
    <xf numFmtId="43" fontId="0" fillId="0" borderId="90" xfId="45" applyFont="1" applyFill="1" applyBorder="1" applyAlignment="1" applyProtection="1">
      <alignment vertical="center" wrapText="1"/>
      <protection hidden="1"/>
    </xf>
    <xf numFmtId="43" fontId="0" fillId="0" borderId="113" xfId="45" applyFont="1" applyFill="1" applyBorder="1" applyAlignment="1" applyProtection="1">
      <alignment vertical="center" wrapText="1"/>
      <protection hidden="1"/>
    </xf>
    <xf numFmtId="43" fontId="0" fillId="0" borderId="134" xfId="45" applyFont="1" applyFill="1" applyBorder="1" applyAlignment="1" applyProtection="1">
      <alignment vertical="center" wrapText="1"/>
      <protection hidden="1"/>
    </xf>
    <xf numFmtId="43" fontId="0" fillId="0" borderId="167" xfId="45" applyFont="1" applyFill="1" applyBorder="1" applyAlignment="1" applyProtection="1">
      <alignment vertical="center" wrapText="1"/>
      <protection hidden="1"/>
    </xf>
    <xf numFmtId="0" fontId="0" fillId="0" borderId="131" xfId="0" applyFont="1" applyFill="1" applyBorder="1" applyAlignment="1" applyProtection="1" quotePrefix="1">
      <alignment horizontal="center" vertical="center" wrapText="1"/>
      <protection hidden="1"/>
    </xf>
    <xf numFmtId="0" fontId="4" fillId="35" borderId="56" xfId="0" applyFont="1" applyFill="1" applyBorder="1" applyAlignment="1" applyProtection="1">
      <alignment horizontal="left" vertical="center" wrapText="1"/>
      <protection hidden="1"/>
    </xf>
    <xf numFmtId="0" fontId="4" fillId="35" borderId="82" xfId="0" applyFont="1" applyFill="1" applyBorder="1" applyAlignment="1" applyProtection="1">
      <alignment horizontal="left" vertical="center" wrapText="1"/>
      <protection hidden="1"/>
    </xf>
    <xf numFmtId="0" fontId="4" fillId="35" borderId="104" xfId="0" applyFont="1" applyFill="1" applyBorder="1" applyAlignment="1" applyProtection="1">
      <alignment horizontal="left" vertical="center" wrapText="1"/>
      <protection hidden="1"/>
    </xf>
    <xf numFmtId="0" fontId="3" fillId="35" borderId="56" xfId="0" applyFont="1" applyFill="1" applyBorder="1" applyAlignment="1" applyProtection="1">
      <alignment horizontal="center" vertical="center" wrapText="1"/>
      <protection hidden="1"/>
    </xf>
    <xf numFmtId="0" fontId="3" fillId="35" borderId="82" xfId="0" applyFont="1" applyFill="1" applyBorder="1" applyAlignment="1" applyProtection="1">
      <alignment horizontal="center" vertical="center" wrapText="1"/>
      <protection hidden="1"/>
    </xf>
    <xf numFmtId="0" fontId="3" fillId="35" borderId="71" xfId="0" applyFont="1" applyFill="1" applyBorder="1" applyAlignment="1" applyProtection="1">
      <alignment horizontal="center" vertical="center" wrapText="1"/>
      <protection hidden="1"/>
    </xf>
    <xf numFmtId="0" fontId="3" fillId="37" borderId="44" xfId="0" applyFont="1" applyFill="1" applyBorder="1" applyAlignment="1" applyProtection="1">
      <alignment horizontal="center" vertical="center" wrapText="1"/>
      <protection hidden="1"/>
    </xf>
    <xf numFmtId="0" fontId="3" fillId="37" borderId="95" xfId="0" applyFont="1" applyFill="1" applyBorder="1" applyAlignment="1" applyProtection="1">
      <alignment horizontal="center" vertical="center" wrapText="1"/>
      <protection hidden="1"/>
    </xf>
    <xf numFmtId="0" fontId="5" fillId="35" borderId="191" xfId="0" applyFont="1" applyFill="1" applyBorder="1" applyAlignment="1" applyProtection="1">
      <alignment horizontal="center" vertical="center" wrapText="1"/>
      <protection hidden="1"/>
    </xf>
    <xf numFmtId="0" fontId="5" fillId="35" borderId="124" xfId="0" applyFont="1" applyFill="1" applyBorder="1" applyAlignment="1" applyProtection="1">
      <alignment horizontal="center" vertical="center" wrapText="1"/>
      <protection hidden="1"/>
    </xf>
    <xf numFmtId="0" fontId="4" fillId="37" borderId="44" xfId="0" applyFont="1" applyFill="1" applyBorder="1" applyAlignment="1" applyProtection="1">
      <alignment horizontal="center" vertical="center" wrapText="1"/>
      <protection hidden="1"/>
    </xf>
    <xf numFmtId="0" fontId="4" fillId="37" borderId="95" xfId="0" applyFont="1" applyFill="1" applyBorder="1" applyAlignment="1" applyProtection="1">
      <alignment horizontal="center" vertical="center" wrapText="1"/>
      <protection hidden="1"/>
    </xf>
    <xf numFmtId="0" fontId="3" fillId="37" borderId="55" xfId="0" applyFont="1" applyFill="1" applyBorder="1" applyAlignment="1" applyProtection="1">
      <alignment horizontal="center" vertical="center" wrapText="1"/>
      <protection hidden="1"/>
    </xf>
    <xf numFmtId="0" fontId="3" fillId="37" borderId="56" xfId="0" applyFont="1" applyFill="1" applyBorder="1" applyAlignment="1" applyProtection="1">
      <alignment horizontal="center" vertical="center" wrapText="1"/>
      <protection hidden="1"/>
    </xf>
    <xf numFmtId="0" fontId="3" fillId="35" borderId="56" xfId="0" applyFont="1" applyFill="1" applyBorder="1" applyAlignment="1" applyProtection="1">
      <alignment horizontal="left" vertical="center" wrapText="1"/>
      <protection hidden="1"/>
    </xf>
    <xf numFmtId="0" fontId="3" fillId="35" borderId="82" xfId="0" applyFont="1" applyFill="1" applyBorder="1" applyAlignment="1" applyProtection="1">
      <alignment horizontal="left" vertical="center" wrapText="1"/>
      <protection hidden="1"/>
    </xf>
    <xf numFmtId="0" fontId="3" fillId="35" borderId="71" xfId="0" applyFont="1" applyFill="1" applyBorder="1" applyAlignment="1" applyProtection="1">
      <alignment horizontal="left" vertical="center" wrapText="1"/>
      <protection hidden="1"/>
    </xf>
    <xf numFmtId="0" fontId="4" fillId="35" borderId="56" xfId="0" applyFont="1" applyFill="1" applyBorder="1" applyAlignment="1" applyProtection="1">
      <alignment horizontal="left" vertical="center" wrapText="1"/>
      <protection locked="0"/>
    </xf>
    <xf numFmtId="0" fontId="4" fillId="35" borderId="82" xfId="0" applyFont="1" applyFill="1" applyBorder="1" applyAlignment="1" applyProtection="1">
      <alignment horizontal="left" vertical="center" wrapText="1"/>
      <protection locked="0"/>
    </xf>
    <xf numFmtId="0" fontId="4" fillId="35" borderId="71" xfId="0" applyFont="1" applyFill="1" applyBorder="1" applyAlignment="1" applyProtection="1">
      <alignment horizontal="left" vertical="center" wrapText="1"/>
      <protection locked="0"/>
    </xf>
    <xf numFmtId="0" fontId="13" fillId="35" borderId="0" xfId="0" applyFont="1" applyFill="1" applyBorder="1" applyAlignment="1" applyProtection="1">
      <alignment horizontal="center" vertical="center" wrapText="1"/>
      <protection locked="0"/>
    </xf>
    <xf numFmtId="0" fontId="7" fillId="35" borderId="0" xfId="0" applyFont="1" applyFill="1" applyBorder="1" applyAlignment="1" applyProtection="1">
      <alignment horizontal="center" vertical="center" wrapText="1"/>
      <protection hidden="1"/>
    </xf>
    <xf numFmtId="0" fontId="7" fillId="35" borderId="34" xfId="0" applyFont="1" applyFill="1" applyBorder="1" applyAlignment="1" applyProtection="1">
      <alignment horizontal="center" vertical="center" wrapText="1"/>
      <protection hidden="1"/>
    </xf>
    <xf numFmtId="0" fontId="4" fillId="35" borderId="104" xfId="0" applyFont="1" applyFill="1" applyBorder="1" applyAlignment="1" applyProtection="1">
      <alignment horizontal="left" vertical="center" wrapText="1"/>
      <protection locked="0"/>
    </xf>
    <xf numFmtId="0" fontId="4" fillId="0" borderId="66" xfId="0" applyFont="1" applyFill="1" applyBorder="1" applyAlignment="1" applyProtection="1">
      <alignment horizontal="center" vertical="center" wrapText="1"/>
      <protection hidden="1"/>
    </xf>
    <xf numFmtId="0" fontId="4" fillId="0" borderId="204" xfId="0" applyFont="1" applyFill="1" applyBorder="1" applyAlignment="1" applyProtection="1">
      <alignment horizontal="center" vertical="center" wrapText="1"/>
      <protection hidden="1"/>
    </xf>
    <xf numFmtId="0" fontId="4" fillId="0" borderId="148" xfId="0" applyFont="1" applyFill="1" applyBorder="1" applyAlignment="1" applyProtection="1">
      <alignment horizontal="center" vertical="center" wrapText="1"/>
      <protection hidden="1"/>
    </xf>
    <xf numFmtId="0" fontId="4" fillId="0" borderId="67" xfId="0" applyFont="1" applyFill="1" applyBorder="1" applyAlignment="1" applyProtection="1">
      <alignment horizontal="center" vertical="center" wrapText="1"/>
      <protection hidden="1"/>
    </xf>
    <xf numFmtId="0" fontId="4" fillId="0" borderId="31" xfId="0" applyFont="1" applyFill="1" applyBorder="1" applyAlignment="1" applyProtection="1">
      <alignment horizontal="center" vertical="center" wrapText="1"/>
      <protection hidden="1"/>
    </xf>
    <xf numFmtId="0" fontId="4" fillId="0" borderId="56" xfId="0" applyFont="1" applyFill="1" applyBorder="1" applyAlignment="1" applyProtection="1">
      <alignment horizontal="center" vertical="center" wrapText="1"/>
      <protection hidden="1"/>
    </xf>
    <xf numFmtId="0" fontId="4" fillId="0" borderId="82" xfId="0" applyFont="1" applyFill="1" applyBorder="1" applyAlignment="1" applyProtection="1">
      <alignment horizontal="center" vertical="center" wrapText="1"/>
      <protection hidden="1"/>
    </xf>
    <xf numFmtId="0" fontId="4" fillId="0" borderId="71" xfId="0" applyFont="1" applyFill="1" applyBorder="1" applyAlignment="1" applyProtection="1">
      <alignment horizontal="center" vertical="center" wrapText="1"/>
      <protection hidden="1"/>
    </xf>
    <xf numFmtId="0" fontId="4" fillId="0" borderId="40" xfId="0" applyFont="1" applyFill="1" applyBorder="1" applyAlignment="1" applyProtection="1">
      <alignment horizontal="center" vertical="center"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Fill="1" applyBorder="1" applyAlignment="1" applyProtection="1">
      <alignment horizontal="center" vertical="center" wrapText="1"/>
      <protection hidden="1"/>
    </xf>
    <xf numFmtId="43" fontId="4" fillId="0" borderId="56" xfId="45" applyFont="1" applyFill="1" applyBorder="1" applyAlignment="1" applyProtection="1">
      <alignment horizontal="center" vertical="center" wrapText="1"/>
      <protection hidden="1"/>
    </xf>
    <xf numFmtId="43" fontId="4" fillId="0" borderId="82" xfId="45" applyFont="1" applyFill="1" applyBorder="1" applyAlignment="1" applyProtection="1">
      <alignment horizontal="center" vertical="center" wrapText="1"/>
      <protection hidden="1"/>
    </xf>
    <xf numFmtId="43" fontId="4" fillId="0" borderId="71" xfId="45" applyFont="1" applyFill="1" applyBorder="1" applyAlignment="1" applyProtection="1">
      <alignment horizontal="center" vertical="center" wrapText="1"/>
      <protection hidden="1"/>
    </xf>
    <xf numFmtId="43" fontId="26" fillId="0" borderId="130" xfId="45" applyFont="1" applyFill="1" applyBorder="1" applyAlignment="1" applyProtection="1">
      <alignment horizontal="center" vertical="center" wrapText="1"/>
      <protection hidden="1"/>
    </xf>
    <xf numFmtId="43" fontId="26" fillId="0" borderId="69" xfId="45" applyFont="1" applyFill="1" applyBorder="1" applyAlignment="1" applyProtection="1">
      <alignment horizontal="center" vertical="center" wrapText="1"/>
      <protection hidden="1"/>
    </xf>
    <xf numFmtId="43" fontId="26" fillId="0" borderId="177" xfId="45" applyFont="1" applyFill="1" applyBorder="1" applyAlignment="1" applyProtection="1">
      <alignment horizontal="center" vertical="center" wrapText="1"/>
      <protection hidden="1"/>
    </xf>
    <xf numFmtId="0" fontId="4" fillId="0" borderId="39" xfId="0" applyFont="1" applyFill="1" applyBorder="1" applyAlignment="1" applyProtection="1">
      <alignment horizontal="center" vertical="center" wrapText="1"/>
      <protection hidden="1"/>
    </xf>
    <xf numFmtId="0" fontId="4" fillId="0" borderId="27"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wrapText="1"/>
      <protection hidden="1"/>
    </xf>
    <xf numFmtId="0" fontId="1" fillId="37" borderId="56" xfId="0" applyFont="1" applyFill="1" applyBorder="1" applyAlignment="1" applyProtection="1">
      <alignment horizontal="center" vertical="center" wrapText="1"/>
      <protection hidden="1"/>
    </xf>
    <xf numFmtId="0" fontId="1" fillId="37" borderId="82" xfId="0" applyFont="1" applyFill="1" applyBorder="1" applyAlignment="1" applyProtection="1">
      <alignment horizontal="center" vertical="center" wrapText="1"/>
      <protection hidden="1"/>
    </xf>
    <xf numFmtId="43" fontId="1" fillId="35" borderId="56" xfId="45" applyFont="1" applyFill="1" applyBorder="1" applyAlignment="1" applyProtection="1">
      <alignment horizontal="center" vertical="center" wrapText="1"/>
      <protection hidden="1"/>
    </xf>
    <xf numFmtId="43" fontId="1" fillId="35" borderId="82" xfId="45" applyFont="1" applyFill="1" applyBorder="1" applyAlignment="1" applyProtection="1">
      <alignment horizontal="center" vertical="center" wrapText="1"/>
      <protection hidden="1"/>
    </xf>
    <xf numFmtId="43" fontId="1" fillId="35" borderId="71" xfId="45" applyFont="1" applyFill="1" applyBorder="1" applyAlignment="1" applyProtection="1">
      <alignment horizontal="center" vertical="center" wrapText="1"/>
      <protection hidden="1"/>
    </xf>
    <xf numFmtId="0" fontId="4" fillId="35" borderId="67" xfId="0" applyFont="1" applyFill="1" applyBorder="1" applyAlignment="1" applyProtection="1">
      <alignment horizontal="center" vertical="center" wrapText="1"/>
      <protection hidden="1"/>
    </xf>
    <xf numFmtId="0" fontId="4" fillId="35" borderId="31" xfId="0" applyFont="1" applyFill="1" applyBorder="1" applyAlignment="1" applyProtection="1">
      <alignment horizontal="center" vertical="center" wrapText="1"/>
      <protection hidden="1"/>
    </xf>
    <xf numFmtId="0" fontId="4" fillId="35" borderId="24" xfId="0" applyFont="1" applyFill="1" applyBorder="1" applyAlignment="1" applyProtection="1">
      <alignment horizontal="center" vertical="center" wrapText="1"/>
      <protection hidden="1"/>
    </xf>
    <xf numFmtId="0" fontId="4" fillId="35" borderId="12" xfId="0" applyFont="1" applyFill="1" applyBorder="1" applyAlignment="1" applyProtection="1">
      <alignment horizontal="center" vertical="center" wrapText="1"/>
      <protection hidden="1"/>
    </xf>
    <xf numFmtId="0" fontId="4" fillId="35" borderId="66" xfId="0" applyFont="1" applyFill="1" applyBorder="1" applyAlignment="1" applyProtection="1">
      <alignment horizontal="center" vertical="center" wrapText="1"/>
      <protection hidden="1"/>
    </xf>
    <xf numFmtId="0" fontId="4" fillId="35" borderId="204" xfId="0" applyFont="1" applyFill="1" applyBorder="1" applyAlignment="1" applyProtection="1">
      <alignment horizontal="center" vertical="center" wrapText="1"/>
      <protection hidden="1"/>
    </xf>
    <xf numFmtId="0" fontId="4" fillId="35" borderId="148" xfId="0" applyFont="1" applyFill="1" applyBorder="1" applyAlignment="1" applyProtection="1">
      <alignment horizontal="center" vertical="center" wrapText="1"/>
      <protection hidden="1"/>
    </xf>
    <xf numFmtId="0" fontId="4" fillId="35" borderId="40" xfId="0" applyFont="1" applyFill="1" applyBorder="1" applyAlignment="1" applyProtection="1">
      <alignment horizontal="center" vertical="center" wrapText="1"/>
      <protection hidden="1"/>
    </xf>
    <xf numFmtId="0" fontId="4" fillId="35" borderId="32" xfId="0" applyFont="1" applyFill="1" applyBorder="1" applyAlignment="1" applyProtection="1">
      <alignment horizontal="center" vertical="center" wrapText="1"/>
      <protection hidden="1"/>
    </xf>
    <xf numFmtId="0" fontId="4" fillId="35" borderId="29" xfId="0" applyFont="1" applyFill="1" applyBorder="1" applyAlignment="1" applyProtection="1">
      <alignment horizontal="center" vertical="center" wrapText="1"/>
      <protection hidden="1"/>
    </xf>
    <xf numFmtId="0" fontId="1" fillId="37" borderId="41" xfId="0" applyFont="1" applyFill="1" applyBorder="1" applyAlignment="1" applyProtection="1">
      <alignment horizontal="center" vertical="center" wrapText="1"/>
      <protection hidden="1"/>
    </xf>
    <xf numFmtId="0" fontId="1" fillId="37" borderId="34" xfId="0" applyFont="1" applyFill="1" applyBorder="1" applyAlignment="1" applyProtection="1">
      <alignment horizontal="center" vertical="center" wrapText="1"/>
      <protection hidden="1"/>
    </xf>
    <xf numFmtId="0" fontId="4" fillId="35" borderId="56" xfId="0" applyFont="1" applyFill="1" applyBorder="1" applyAlignment="1" applyProtection="1">
      <alignment horizontal="center" vertical="center" wrapText="1"/>
      <protection hidden="1"/>
    </xf>
    <xf numFmtId="0" fontId="4" fillId="35" borderId="82" xfId="0" applyFont="1" applyFill="1" applyBorder="1" applyAlignment="1" applyProtection="1">
      <alignment horizontal="center" vertical="center" wrapText="1"/>
      <protection hidden="1"/>
    </xf>
    <xf numFmtId="0" fontId="4" fillId="35" borderId="71" xfId="0" applyFont="1" applyFill="1" applyBorder="1" applyAlignment="1" applyProtection="1">
      <alignment horizontal="center" vertical="center" wrapText="1"/>
      <protection hidden="1"/>
    </xf>
    <xf numFmtId="0" fontId="1" fillId="35" borderId="56" xfId="0" applyFont="1" applyFill="1" applyBorder="1" applyAlignment="1" applyProtection="1">
      <alignment horizontal="center" vertical="center" wrapText="1"/>
      <protection hidden="1"/>
    </xf>
    <xf numFmtId="0" fontId="1" fillId="35" borderId="82" xfId="0" applyFont="1" applyFill="1" applyBorder="1" applyAlignment="1" applyProtection="1">
      <alignment horizontal="center" vertical="center" wrapText="1"/>
      <protection hidden="1"/>
    </xf>
    <xf numFmtId="0" fontId="1" fillId="37" borderId="64" xfId="0" applyFont="1" applyFill="1" applyBorder="1" applyAlignment="1" applyProtection="1">
      <alignment horizontal="center" vertical="center" wrapText="1"/>
      <protection hidden="1"/>
    </xf>
    <xf numFmtId="0" fontId="1" fillId="37" borderId="58" xfId="0" applyFont="1" applyFill="1" applyBorder="1" applyAlignment="1" applyProtection="1">
      <alignment horizontal="center" vertical="center" wrapText="1"/>
      <protection hidden="1"/>
    </xf>
    <xf numFmtId="0" fontId="1" fillId="35" borderId="71" xfId="0" applyFont="1" applyFill="1" applyBorder="1" applyAlignment="1" applyProtection="1">
      <alignment horizontal="center" vertical="center" wrapText="1"/>
      <protection hidden="1"/>
    </xf>
    <xf numFmtId="0" fontId="1" fillId="35" borderId="61" xfId="0" applyFont="1" applyFill="1" applyBorder="1" applyAlignment="1" applyProtection="1">
      <alignment horizontal="center" vertical="center" wrapText="1"/>
      <protection hidden="1"/>
    </xf>
    <xf numFmtId="0" fontId="1" fillId="35" borderId="118" xfId="0" applyFont="1" applyFill="1" applyBorder="1" applyAlignment="1" applyProtection="1">
      <alignment horizontal="center" vertical="center" wrapText="1"/>
      <protection hidden="1"/>
    </xf>
    <xf numFmtId="0" fontId="1" fillId="35" borderId="73" xfId="0" applyFont="1" applyFill="1" applyBorder="1" applyAlignment="1" applyProtection="1">
      <alignment horizontal="center" vertical="center" wrapText="1"/>
      <protection hidden="1"/>
    </xf>
    <xf numFmtId="0" fontId="4" fillId="35" borderId="39" xfId="0" applyFont="1" applyFill="1" applyBorder="1" applyAlignment="1" applyProtection="1">
      <alignment horizontal="center" vertical="center" wrapText="1"/>
      <protection hidden="1"/>
    </xf>
    <xf numFmtId="0" fontId="4" fillId="35" borderId="27" xfId="0" applyFont="1" applyFill="1" applyBorder="1" applyAlignment="1" applyProtection="1">
      <alignment horizontal="center" vertical="center" wrapText="1"/>
      <protection hidden="1"/>
    </xf>
    <xf numFmtId="0" fontId="4" fillId="35" borderId="13" xfId="0" applyFont="1" applyFill="1" applyBorder="1" applyAlignment="1" applyProtection="1">
      <alignment horizontal="center" vertical="center" wrapText="1"/>
      <protection hidden="1"/>
    </xf>
    <xf numFmtId="43" fontId="4" fillId="35" borderId="56" xfId="45" applyFont="1" applyFill="1" applyBorder="1" applyAlignment="1" applyProtection="1">
      <alignment horizontal="center" vertical="center" wrapText="1"/>
      <protection hidden="1"/>
    </xf>
    <xf numFmtId="43" fontId="4" fillId="35" borderId="82" xfId="45" applyFont="1" applyFill="1" applyBorder="1" applyAlignment="1" applyProtection="1">
      <alignment horizontal="center" vertical="center" wrapText="1"/>
      <protection hidden="1"/>
    </xf>
    <xf numFmtId="43" fontId="4" fillId="35" borderId="71" xfId="45" applyFont="1" applyFill="1" applyBorder="1" applyAlignment="1" applyProtection="1">
      <alignment horizontal="center" vertical="center" wrapText="1"/>
      <protection hidden="1"/>
    </xf>
    <xf numFmtId="0" fontId="14" fillId="0" borderId="0" xfId="0" applyFont="1" applyFill="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wrapText="1"/>
      <protection hidden="1"/>
    </xf>
    <xf numFmtId="0" fontId="1" fillId="0" borderId="56" xfId="0" applyFont="1" applyFill="1" applyBorder="1" applyAlignment="1" applyProtection="1">
      <alignment horizontal="center" vertical="center" wrapText="1"/>
      <protection hidden="1"/>
    </xf>
    <xf numFmtId="0" fontId="1" fillId="0" borderId="82" xfId="0" applyFont="1" applyFill="1" applyBorder="1" applyAlignment="1" applyProtection="1">
      <alignment horizontal="center" vertical="center" wrapText="1"/>
      <protection hidden="1"/>
    </xf>
    <xf numFmtId="0" fontId="4" fillId="0" borderId="72" xfId="0" applyFont="1" applyFill="1" applyBorder="1" applyAlignment="1" applyProtection="1">
      <alignment horizontal="center" vertical="center" wrapText="1"/>
      <protection hidden="1"/>
    </xf>
    <xf numFmtId="43" fontId="26" fillId="35" borderId="0" xfId="45" applyFont="1" applyFill="1" applyBorder="1" applyAlignment="1" applyProtection="1">
      <alignment horizontal="center" vertical="center" wrapText="1"/>
      <protection hidden="1"/>
    </xf>
    <xf numFmtId="43" fontId="26" fillId="35" borderId="144" xfId="45" applyFont="1" applyFill="1" applyBorder="1" applyAlignment="1" applyProtection="1">
      <alignment horizontal="center" vertical="center" wrapText="1"/>
      <protection hidden="1"/>
    </xf>
    <xf numFmtId="43" fontId="4" fillId="0" borderId="56" xfId="0" applyNumberFormat="1" applyFont="1" applyFill="1" applyBorder="1" applyAlignment="1" applyProtection="1">
      <alignment horizontal="center" vertical="center" wrapText="1"/>
      <protection hidden="1"/>
    </xf>
    <xf numFmtId="43" fontId="4" fillId="0" borderId="82" xfId="0" applyNumberFormat="1" applyFont="1" applyFill="1" applyBorder="1" applyAlignment="1" applyProtection="1">
      <alignment horizontal="center" vertical="center" wrapText="1"/>
      <protection hidden="1"/>
    </xf>
    <xf numFmtId="43" fontId="4" fillId="0" borderId="71" xfId="0" applyNumberFormat="1" applyFont="1" applyFill="1" applyBorder="1" applyAlignment="1" applyProtection="1">
      <alignment horizontal="center" vertical="center" wrapText="1"/>
      <protection hidden="1"/>
    </xf>
    <xf numFmtId="0" fontId="4" fillId="0" borderId="64" xfId="0" applyFont="1" applyFill="1" applyBorder="1" applyAlignment="1" applyProtection="1">
      <alignment horizontal="center" vertical="center" wrapText="1"/>
      <protection hidden="1"/>
    </xf>
    <xf numFmtId="0" fontId="4" fillId="0" borderId="58" xfId="0" applyFont="1" applyFill="1" applyBorder="1" applyAlignment="1" applyProtection="1">
      <alignment horizontal="center" vertical="center" wrapText="1"/>
      <protection hidden="1"/>
    </xf>
    <xf numFmtId="43" fontId="26" fillId="35" borderId="85" xfId="45" applyFont="1" applyFill="1" applyBorder="1" applyAlignment="1" applyProtection="1">
      <alignment horizontal="center" vertical="center" wrapText="1"/>
      <protection hidden="1"/>
    </xf>
    <xf numFmtId="43" fontId="26" fillId="35" borderId="69" xfId="45" applyFont="1" applyFill="1" applyBorder="1" applyAlignment="1" applyProtection="1">
      <alignment horizontal="center" vertical="center" wrapText="1"/>
      <protection hidden="1"/>
    </xf>
    <xf numFmtId="0" fontId="4" fillId="35" borderId="48" xfId="0" applyFont="1" applyFill="1" applyBorder="1" applyAlignment="1" applyProtection="1">
      <alignment horizontal="left" vertical="center" wrapText="1"/>
      <protection hidden="1"/>
    </xf>
    <xf numFmtId="0" fontId="4" fillId="35" borderId="32" xfId="0" applyFont="1" applyFill="1" applyBorder="1" applyAlignment="1" applyProtection="1">
      <alignment horizontal="left" vertical="center" wrapText="1"/>
      <protection hidden="1"/>
    </xf>
    <xf numFmtId="0" fontId="4" fillId="35" borderId="29" xfId="0" applyFont="1" applyFill="1" applyBorder="1" applyAlignment="1" applyProtection="1">
      <alignment horizontal="left" vertical="center" wrapText="1"/>
      <protection hidden="1"/>
    </xf>
    <xf numFmtId="0" fontId="4" fillId="35" borderId="40" xfId="0" applyFont="1" applyFill="1" applyBorder="1" applyAlignment="1" applyProtection="1">
      <alignment horizontal="left" vertical="center" wrapText="1"/>
      <protection hidden="1"/>
    </xf>
    <xf numFmtId="0" fontId="1" fillId="37" borderId="44" xfId="0" applyFont="1" applyFill="1" applyBorder="1" applyAlignment="1" applyProtection="1">
      <alignment horizontal="center" vertical="center" wrapText="1"/>
      <protection hidden="1"/>
    </xf>
    <xf numFmtId="0" fontId="1" fillId="37" borderId="95" xfId="0" applyFont="1" applyFill="1" applyBorder="1" applyAlignment="1" applyProtection="1">
      <alignment horizontal="center" vertical="center" wrapText="1"/>
      <protection hidden="1"/>
    </xf>
    <xf numFmtId="0" fontId="5" fillId="0" borderId="0" xfId="0" applyFont="1" applyAlignment="1">
      <alignment horizontal="center" vertical="center"/>
    </xf>
    <xf numFmtId="0" fontId="30" fillId="0" borderId="31" xfId="0" applyFont="1" applyFill="1" applyBorder="1" applyAlignment="1">
      <alignment horizontal="right" vertical="center"/>
    </xf>
    <xf numFmtId="0" fontId="31" fillId="0" borderId="31" xfId="0" applyFont="1" applyFill="1" applyBorder="1" applyAlignment="1">
      <alignment horizontal="right" vertical="center"/>
    </xf>
    <xf numFmtId="0" fontId="27"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7" fillId="0" borderId="48" xfId="0" applyFont="1" applyFill="1" applyBorder="1" applyAlignment="1">
      <alignment horizontal="left" vertical="center"/>
    </xf>
    <xf numFmtId="0" fontId="27" fillId="0" borderId="29" xfId="0" applyFont="1" applyFill="1" applyBorder="1" applyAlignment="1">
      <alignment horizontal="left" vertical="center"/>
    </xf>
    <xf numFmtId="0" fontId="19" fillId="0" borderId="0" xfId="0" applyFont="1" applyFill="1" applyAlignment="1">
      <alignment horizontal="right" vertical="center"/>
    </xf>
    <xf numFmtId="0" fontId="19" fillId="0" borderId="0" xfId="0" applyFont="1" applyFill="1" applyAlignment="1">
      <alignment horizontal="center" vertical="center"/>
    </xf>
    <xf numFmtId="0" fontId="36" fillId="0" borderId="34" xfId="0" applyFont="1" applyFill="1" applyBorder="1" applyAlignment="1">
      <alignment horizontal="center" vertical="center" wrapText="1"/>
    </xf>
    <xf numFmtId="0" fontId="7" fillId="0" borderId="38"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05" xfId="0" applyFont="1" applyFill="1" applyBorder="1" applyAlignment="1">
      <alignment horizontal="center" vertical="center"/>
    </xf>
    <xf numFmtId="0" fontId="7" fillId="0" borderId="143" xfId="0" applyFont="1" applyFill="1" applyBorder="1" applyAlignment="1">
      <alignment horizontal="center" vertical="center"/>
    </xf>
    <xf numFmtId="0" fontId="7" fillId="0" borderId="112" xfId="0" applyFont="1" applyFill="1" applyBorder="1" applyAlignment="1">
      <alignment horizontal="center" vertical="center"/>
    </xf>
    <xf numFmtId="0" fontId="7" fillId="0" borderId="74" xfId="0" applyFont="1" applyFill="1" applyBorder="1" applyAlignment="1">
      <alignment horizontal="center" vertical="center"/>
    </xf>
    <xf numFmtId="0" fontId="0" fillId="0" borderId="0" xfId="0" applyFill="1" applyAlignment="1">
      <alignment horizontal="left" vertical="center" wrapText="1"/>
    </xf>
    <xf numFmtId="0" fontId="17" fillId="0" borderId="38"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17" fillId="0" borderId="143" xfId="0" applyFont="1" applyBorder="1" applyAlignment="1">
      <alignment horizontal="center" vertical="center" wrapText="1"/>
    </xf>
    <xf numFmtId="0" fontId="17" fillId="0" borderId="112" xfId="0" applyFont="1" applyBorder="1" applyAlignment="1">
      <alignment horizontal="center" vertical="center" wrapText="1"/>
    </xf>
    <xf numFmtId="0" fontId="17" fillId="0" borderId="24" xfId="0" applyFont="1" applyFill="1" applyBorder="1" applyAlignment="1">
      <alignment horizontal="center" vertical="center"/>
    </xf>
    <xf numFmtId="0" fontId="17" fillId="0" borderId="19" xfId="0" applyFont="1" applyFill="1" applyBorder="1" applyAlignment="1">
      <alignment horizontal="center" vertical="center"/>
    </xf>
    <xf numFmtId="0" fontId="19" fillId="0" borderId="0" xfId="0" applyFont="1" applyAlignment="1">
      <alignment horizontal="right"/>
    </xf>
    <xf numFmtId="0" fontId="19" fillId="0" borderId="0" xfId="0" applyFont="1" applyAlignment="1">
      <alignment horizontal="center" wrapText="1"/>
    </xf>
    <xf numFmtId="0" fontId="19" fillId="0" borderId="0" xfId="0" applyFont="1" applyAlignment="1">
      <alignment horizontal="center"/>
    </xf>
    <xf numFmtId="0" fontId="17" fillId="0" borderId="206" xfId="0" applyFont="1" applyBorder="1" applyAlignment="1">
      <alignment horizontal="center" vertical="center" wrapText="1"/>
    </xf>
    <xf numFmtId="0" fontId="17" fillId="0" borderId="207" xfId="0" applyFont="1" applyBorder="1" applyAlignment="1">
      <alignment horizontal="center" vertical="center" wrapText="1"/>
    </xf>
    <xf numFmtId="0" fontId="115" fillId="0" borderId="208" xfId="0" applyFont="1" applyBorder="1" applyAlignment="1">
      <alignment horizontal="left" vertical="center" wrapText="1"/>
    </xf>
    <xf numFmtId="0" fontId="115" fillId="0" borderId="32" xfId="0" applyFont="1" applyBorder="1" applyAlignment="1">
      <alignment horizontal="left" vertical="center" wrapText="1"/>
    </xf>
    <xf numFmtId="0" fontId="115" fillId="0" borderId="209" xfId="0" applyFont="1" applyBorder="1" applyAlignment="1">
      <alignment horizontal="left" vertical="center" wrapText="1"/>
    </xf>
    <xf numFmtId="0" fontId="115" fillId="0" borderId="185" xfId="0" applyFont="1" applyBorder="1" applyAlignment="1">
      <alignment horizontal="left" vertical="center"/>
    </xf>
    <xf numFmtId="0" fontId="115" fillId="0" borderId="187" xfId="0" applyFont="1" applyBorder="1" applyAlignment="1">
      <alignment horizontal="left" vertical="center"/>
    </xf>
    <xf numFmtId="0" fontId="115" fillId="0" borderId="49" xfId="0" applyFont="1" applyBorder="1" applyAlignment="1">
      <alignment horizontal="left"/>
    </xf>
    <xf numFmtId="0" fontId="115" fillId="0" borderId="30" xfId="0" applyFont="1" applyBorder="1" applyAlignment="1">
      <alignment horizontal="left"/>
    </xf>
    <xf numFmtId="0" fontId="115" fillId="0" borderId="15" xfId="0" applyFont="1" applyBorder="1" applyAlignment="1">
      <alignment horizontal="left"/>
    </xf>
    <xf numFmtId="43" fontId="22" fillId="0" borderId="48" xfId="45" applyFont="1" applyBorder="1" applyAlignment="1">
      <alignment horizontal="center" vertical="center" wrapText="1"/>
    </xf>
    <xf numFmtId="43" fontId="22" fillId="0" borderId="29" xfId="45" applyFont="1" applyBorder="1" applyAlignment="1">
      <alignment horizontal="center" vertical="center" wrapText="1"/>
    </xf>
    <xf numFmtId="43" fontId="20" fillId="0" borderId="49" xfId="45" applyFont="1" applyBorder="1" applyAlignment="1">
      <alignment horizontal="center" vertical="center" wrapText="1"/>
    </xf>
    <xf numFmtId="43" fontId="20" fillId="0" borderId="15" xfId="45" applyFont="1" applyBorder="1" applyAlignment="1">
      <alignment horizontal="center" vertical="center" wrapText="1"/>
    </xf>
    <xf numFmtId="43" fontId="115" fillId="0" borderId="48" xfId="45" applyFont="1" applyBorder="1" applyAlignment="1">
      <alignment horizontal="center"/>
    </xf>
    <xf numFmtId="43" fontId="115" fillId="0" borderId="29" xfId="45" applyFont="1" applyBorder="1" applyAlignment="1">
      <alignment horizontal="center"/>
    </xf>
    <xf numFmtId="0" fontId="0" fillId="0" borderId="0" xfId="0" applyAlignment="1">
      <alignment horizontal="left" wrapText="1"/>
    </xf>
    <xf numFmtId="0" fontId="49" fillId="0" borderId="0" xfId="0" applyFont="1" applyAlignment="1">
      <alignment horizontal="right"/>
    </xf>
    <xf numFmtId="0" fontId="50" fillId="0" borderId="0" xfId="0" applyFont="1" applyAlignment="1">
      <alignment horizontal="center" wrapText="1"/>
    </xf>
    <xf numFmtId="0" fontId="22" fillId="0" borderId="210" xfId="0" applyFont="1" applyBorder="1" applyAlignment="1">
      <alignment horizontal="left" wrapText="1"/>
    </xf>
    <xf numFmtId="0" fontId="22" fillId="0" borderId="192" xfId="0" applyFont="1" applyBorder="1" applyAlignment="1">
      <alignment horizontal="left" wrapText="1"/>
    </xf>
    <xf numFmtId="0" fontId="22" fillId="0" borderId="190" xfId="0" applyFont="1" applyBorder="1" applyAlignment="1">
      <alignment horizontal="left"/>
    </xf>
    <xf numFmtId="0" fontId="22" fillId="0" borderId="36" xfId="0" applyFont="1" applyBorder="1" applyAlignment="1">
      <alignment horizontal="left"/>
    </xf>
    <xf numFmtId="0" fontId="22" fillId="0" borderId="211" xfId="0" applyFont="1" applyBorder="1" applyAlignment="1">
      <alignment horizontal="left"/>
    </xf>
    <xf numFmtId="0" fontId="22" fillId="0" borderId="212" xfId="0" applyFont="1" applyBorder="1" applyAlignment="1">
      <alignment horizontal="left" wrapText="1"/>
    </xf>
    <xf numFmtId="0" fontId="22" fillId="0" borderId="170" xfId="0" applyFont="1" applyBorder="1" applyAlignment="1">
      <alignment horizontal="left" wrapText="1"/>
    </xf>
    <xf numFmtId="0" fontId="20" fillId="36" borderId="0" xfId="0" applyFont="1" applyFill="1" applyAlignment="1">
      <alignment vertical="center" wrapText="1"/>
    </xf>
    <xf numFmtId="0" fontId="22" fillId="0" borderId="190" xfId="0" applyFont="1" applyBorder="1" applyAlignment="1">
      <alignment horizontal="right"/>
    </xf>
    <xf numFmtId="0" fontId="22" fillId="0" borderId="213" xfId="0" applyFont="1" applyBorder="1" applyAlignment="1">
      <alignment horizontal="right"/>
    </xf>
    <xf numFmtId="0" fontId="0" fillId="0" borderId="0" xfId="0" applyAlignment="1">
      <alignment vertical="center" wrapText="1"/>
    </xf>
    <xf numFmtId="0" fontId="129" fillId="36" borderId="0" xfId="0" applyFont="1" applyFill="1" applyAlignment="1">
      <alignment horizontal="left" vertical="center" wrapText="1"/>
    </xf>
    <xf numFmtId="0" fontId="63" fillId="0" borderId="0" xfId="0" applyFont="1" applyAlignment="1">
      <alignment horizontal="right" vertical="center"/>
    </xf>
    <xf numFmtId="0" fontId="56" fillId="0" borderId="0" xfId="0" applyFont="1" applyAlignment="1">
      <alignment horizontal="center" vertical="center"/>
    </xf>
    <xf numFmtId="0" fontId="124" fillId="0" borderId="0" xfId="0" applyFont="1" applyAlignment="1">
      <alignment horizontal="justify" vertical="center" wrapText="1"/>
    </xf>
    <xf numFmtId="0" fontId="50" fillId="0" borderId="0" xfId="0" applyFont="1" applyAlignment="1">
      <alignment horizontal="right" vertical="center"/>
    </xf>
    <xf numFmtId="0" fontId="72" fillId="0" borderId="0" xfId="0" applyFont="1" applyAlignment="1">
      <alignment horizontal="center" vertical="center"/>
    </xf>
    <xf numFmtId="0" fontId="65" fillId="0" borderId="31" xfId="0" applyFont="1" applyBorder="1" applyAlignment="1">
      <alignment horizontal="center" vertical="center" wrapText="1"/>
    </xf>
    <xf numFmtId="0" fontId="123" fillId="0" borderId="31" xfId="0" applyFont="1" applyBorder="1" applyAlignment="1">
      <alignment horizontal="left" vertical="center"/>
    </xf>
    <xf numFmtId="0" fontId="130" fillId="0" borderId="31" xfId="0" applyFont="1" applyBorder="1" applyAlignment="1">
      <alignment horizontal="left" vertical="center"/>
    </xf>
    <xf numFmtId="0" fontId="123" fillId="0" borderId="31" xfId="0" applyFont="1" applyBorder="1" applyAlignment="1">
      <alignment horizontal="left" vertical="center" wrapText="1"/>
    </xf>
    <xf numFmtId="0" fontId="126" fillId="0" borderId="31" xfId="0" applyFont="1" applyBorder="1" applyAlignment="1">
      <alignment horizontal="left" vertical="center"/>
    </xf>
    <xf numFmtId="0" fontId="126" fillId="0" borderId="31" xfId="0" applyFont="1" applyBorder="1" applyAlignment="1">
      <alignment horizontal="left" vertical="center" wrapText="1"/>
    </xf>
    <xf numFmtId="0" fontId="124" fillId="0" borderId="0" xfId="0" applyFont="1" applyAlignment="1">
      <alignment horizontal="left" vertical="center" wrapText="1"/>
    </xf>
    <xf numFmtId="0" fontId="126" fillId="0" borderId="31" xfId="0" applyFont="1" applyBorder="1" applyAlignment="1">
      <alignment horizontal="right" vertical="center"/>
    </xf>
    <xf numFmtId="0" fontId="131" fillId="0" borderId="0" xfId="0" applyFont="1" applyAlignment="1" quotePrefix="1">
      <alignment horizontal="left" wrapText="1"/>
    </xf>
    <xf numFmtId="0" fontId="46" fillId="0" borderId="0" xfId="0" applyFont="1" applyFill="1" applyBorder="1" applyAlignment="1">
      <alignment horizontal="right" vertical="center"/>
    </xf>
    <xf numFmtId="0" fontId="5" fillId="0" borderId="5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48"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5" xfId="0" applyFont="1" applyBorder="1" applyAlignment="1">
      <alignment horizontal="left" vertical="center"/>
    </xf>
    <xf numFmtId="0" fontId="0" fillId="0" borderId="0" xfId="0" applyFont="1" applyBorder="1" applyAlignment="1">
      <alignment horizontal="left" vertical="center"/>
    </xf>
    <xf numFmtId="0" fontId="0" fillId="0" borderId="35" xfId="0" applyFont="1" applyBorder="1" applyAlignment="1">
      <alignment vertical="center" wrapText="1"/>
    </xf>
    <xf numFmtId="0" fontId="0" fillId="0" borderId="0" xfId="0" applyFont="1" applyAlignment="1">
      <alignment vertical="center"/>
    </xf>
    <xf numFmtId="0" fontId="0" fillId="0" borderId="10" xfId="0" applyFont="1" applyBorder="1" applyAlignment="1">
      <alignment vertical="center"/>
    </xf>
    <xf numFmtId="0" fontId="4" fillId="0" borderId="35" xfId="0" applyFont="1" applyBorder="1" applyAlignment="1">
      <alignment horizontal="left" vertical="center"/>
    </xf>
    <xf numFmtId="0" fontId="4" fillId="0" borderId="0" xfId="0" applyFont="1" applyBorder="1" applyAlignment="1">
      <alignment horizontal="left" vertical="center"/>
    </xf>
    <xf numFmtId="0" fontId="3" fillId="0" borderId="48"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0" fillId="0" borderId="35"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49" xfId="0" applyFont="1" applyBorder="1" applyAlignment="1">
      <alignment horizontal="left" vertical="center" wrapText="1"/>
    </xf>
    <xf numFmtId="0" fontId="0" fillId="0" borderId="30" xfId="0" applyFont="1" applyBorder="1" applyAlignment="1">
      <alignment horizontal="left" vertical="center" wrapText="1"/>
    </xf>
    <xf numFmtId="0" fontId="0" fillId="0" borderId="15" xfId="0" applyFont="1" applyBorder="1" applyAlignment="1">
      <alignment horizontal="left" vertical="center" wrapText="1"/>
    </xf>
    <xf numFmtId="0" fontId="44" fillId="0" borderId="48" xfId="0" applyFont="1" applyBorder="1" applyAlignment="1">
      <alignment horizontal="center" vertical="center" wrapText="1"/>
    </xf>
    <xf numFmtId="0" fontId="44" fillId="0" borderId="32" xfId="0" applyFont="1" applyBorder="1" applyAlignment="1">
      <alignment horizontal="center" vertical="center" wrapText="1"/>
    </xf>
    <xf numFmtId="0" fontId="44" fillId="0" borderId="29" xfId="0" applyFont="1" applyBorder="1" applyAlignment="1">
      <alignment horizontal="center" vertical="center" wrapText="1"/>
    </xf>
    <xf numFmtId="0" fontId="0" fillId="0" borderId="53" xfId="0" applyFont="1" applyBorder="1" applyAlignment="1">
      <alignment horizontal="left" vertical="center"/>
    </xf>
    <xf numFmtId="0" fontId="0" fillId="0" borderId="27" xfId="0" applyFont="1" applyBorder="1" applyAlignment="1">
      <alignment horizontal="left" vertical="center"/>
    </xf>
    <xf numFmtId="0" fontId="0" fillId="0" borderId="13" xfId="0" applyFont="1" applyBorder="1" applyAlignment="1">
      <alignment horizontal="left" vertical="center"/>
    </xf>
    <xf numFmtId="0" fontId="0" fillId="0" borderId="10" xfId="0" applyFont="1" applyBorder="1" applyAlignment="1">
      <alignment horizontal="left" vertical="center"/>
    </xf>
    <xf numFmtId="0" fontId="4" fillId="0" borderId="35" xfId="0" applyFont="1" applyBorder="1" applyAlignment="1">
      <alignment vertical="center" wrapText="1"/>
    </xf>
    <xf numFmtId="0" fontId="4" fillId="0" borderId="0" xfId="0" applyFont="1" applyBorder="1" applyAlignment="1">
      <alignment vertical="center" wrapText="1"/>
    </xf>
    <xf numFmtId="0" fontId="0" fillId="0" borderId="0" xfId="0" applyFont="1" applyAlignment="1" quotePrefix="1">
      <alignment horizontal="left" vertical="center" wrapText="1"/>
    </xf>
    <xf numFmtId="0" fontId="44" fillId="0" borderId="48" xfId="0" applyFont="1" applyBorder="1" applyAlignment="1">
      <alignment horizontal="center" vertical="center"/>
    </xf>
    <xf numFmtId="0" fontId="44" fillId="0" borderId="32" xfId="0" applyFont="1" applyBorder="1" applyAlignment="1">
      <alignment horizontal="center" vertical="center"/>
    </xf>
    <xf numFmtId="0" fontId="44" fillId="0" borderId="29" xfId="0" applyFont="1" applyBorder="1" applyAlignment="1">
      <alignment horizontal="center" vertical="center"/>
    </xf>
    <xf numFmtId="0" fontId="0" fillId="0" borderId="53" xfId="0" applyFont="1" applyBorder="1" applyAlignment="1">
      <alignment vertical="center" wrapText="1"/>
    </xf>
    <xf numFmtId="0" fontId="0" fillId="0" borderId="27" xfId="0" applyFont="1" applyBorder="1" applyAlignment="1">
      <alignment vertical="center" wrapText="1"/>
    </xf>
    <xf numFmtId="0" fontId="0" fillId="0" borderId="13" xfId="0" applyFont="1" applyBorder="1" applyAlignment="1">
      <alignment vertical="center" wrapText="1"/>
    </xf>
    <xf numFmtId="0" fontId="44" fillId="0" borderId="31" xfId="0" applyFont="1" applyBorder="1" applyAlignment="1">
      <alignment horizontal="center" vertical="center"/>
    </xf>
    <xf numFmtId="0" fontId="3" fillId="0" borderId="31" xfId="0" applyFont="1" applyBorder="1" applyAlignment="1">
      <alignment horizontal="left" vertical="center"/>
    </xf>
    <xf numFmtId="0" fontId="3" fillId="0" borderId="31" xfId="0" applyFont="1" applyBorder="1" applyAlignment="1" quotePrefix="1">
      <alignment horizontal="left" vertical="center"/>
    </xf>
    <xf numFmtId="0" fontId="56" fillId="0" borderId="0" xfId="0" applyFont="1" applyFill="1" applyBorder="1" applyAlignment="1">
      <alignment horizontal="right" vertical="center"/>
    </xf>
    <xf numFmtId="0" fontId="4" fillId="0" borderId="35" xfId="0" applyFont="1" applyBorder="1" applyAlignment="1">
      <alignment horizontal="center" vertical="center"/>
    </xf>
    <xf numFmtId="0" fontId="4" fillId="0" borderId="0" xfId="0" applyFont="1" applyBorder="1" applyAlignment="1">
      <alignment horizontal="center" vertical="center"/>
    </xf>
    <xf numFmtId="0" fontId="0" fillId="0" borderId="48" xfId="0" applyFont="1" applyBorder="1" applyAlignment="1">
      <alignment horizontal="center" vertical="center" wrapText="1"/>
    </xf>
    <xf numFmtId="0" fontId="0" fillId="0" borderId="35"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48" fillId="0" borderId="48" xfId="0" applyFont="1" applyBorder="1" applyAlignment="1">
      <alignment horizontal="left" vertical="center" wrapText="1"/>
    </xf>
    <xf numFmtId="0" fontId="48" fillId="0" borderId="32" xfId="0" applyFont="1" applyBorder="1" applyAlignment="1">
      <alignment horizontal="left" vertical="center" wrapText="1"/>
    </xf>
    <xf numFmtId="0" fontId="0" fillId="0" borderId="53" xfId="0" applyBorder="1" applyAlignment="1">
      <alignment horizontal="left" vertical="center" wrapText="1"/>
    </xf>
    <xf numFmtId="0" fontId="0" fillId="0" borderId="27" xfId="0" applyBorder="1" applyAlignment="1">
      <alignment horizontal="left" vertical="center" wrapText="1"/>
    </xf>
    <xf numFmtId="0" fontId="0" fillId="0" borderId="13" xfId="0" applyBorder="1" applyAlignment="1">
      <alignment horizontal="left" vertical="center" wrapText="1"/>
    </xf>
    <xf numFmtId="0" fontId="43" fillId="0" borderId="0" xfId="0" applyFont="1" applyAlignment="1" quotePrefix="1">
      <alignment horizontal="left" vertical="center"/>
    </xf>
    <xf numFmtId="0" fontId="43" fillId="0" borderId="0" xfId="0" applyFont="1" applyFill="1" applyAlignment="1" quotePrefix="1">
      <alignment horizontal="left" vertical="center" wrapText="1"/>
    </xf>
    <xf numFmtId="0" fontId="4" fillId="0" borderId="35" xfId="0" applyFont="1" applyBorder="1" applyAlignment="1">
      <alignment horizontal="left" vertical="center" wrapText="1"/>
    </xf>
    <xf numFmtId="0" fontId="4" fillId="0" borderId="0" xfId="0" applyFont="1" applyBorder="1" applyAlignment="1">
      <alignment horizontal="left" vertical="center" wrapText="1"/>
    </xf>
    <xf numFmtId="0" fontId="0" fillId="0" borderId="35" xfId="0" applyBorder="1" applyAlignment="1">
      <alignment horizontal="left" vertical="center"/>
    </xf>
    <xf numFmtId="0" fontId="0" fillId="0" borderId="0" xfId="0" applyBorder="1" applyAlignment="1">
      <alignment horizontal="left" vertical="center"/>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rmale_Foglio1" xfId="49"/>
    <cellStyle name="Normale_Foglio2"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2"/>
  </sheetPr>
  <dimension ref="A1:Z179"/>
  <sheetViews>
    <sheetView showGridLines="0" tabSelected="1" zoomScale="80" zoomScaleNormal="80" zoomScaleSheetLayoutView="70" workbookViewId="0" topLeftCell="A1">
      <selection activeCell="A5" sqref="A5"/>
    </sheetView>
  </sheetViews>
  <sheetFormatPr defaultColWidth="9.140625" defaultRowHeight="12.75"/>
  <cols>
    <col min="1" max="1" width="7.57421875" style="403" customWidth="1"/>
    <col min="2" max="3" width="10.140625" style="403" customWidth="1"/>
    <col min="4" max="4" width="15.28125" style="581" customWidth="1"/>
    <col min="5" max="5" width="63.8515625" style="413" customWidth="1"/>
    <col min="6" max="6" width="16.140625" style="413" customWidth="1"/>
    <col min="7" max="7" width="18.00390625" style="413" hidden="1" customWidth="1"/>
    <col min="8" max="8" width="17.421875" style="413" hidden="1" customWidth="1"/>
    <col min="9" max="9" width="16.140625" style="826" customWidth="1"/>
    <col min="10" max="10" width="16.140625" style="826" hidden="1" customWidth="1"/>
    <col min="11" max="11" width="16.140625" style="826" customWidth="1"/>
    <col min="12" max="13" width="16.140625" style="826" hidden="1" customWidth="1"/>
    <col min="14" max="14" width="16.140625" style="826" customWidth="1"/>
    <col min="15" max="16" width="16.140625" style="413" hidden="1" customWidth="1"/>
    <col min="17" max="17" width="16.140625" style="413" customWidth="1"/>
    <col min="18" max="19" width="16.140625" style="413" hidden="1" customWidth="1"/>
    <col min="20" max="20" width="17.57421875" style="826" customWidth="1"/>
    <col min="21" max="22" width="16.140625" style="413" hidden="1" customWidth="1"/>
    <col min="23" max="23" width="3.57421875" style="413" customWidth="1"/>
    <col min="24" max="24" width="10.7109375" style="389" customWidth="1"/>
    <col min="25" max="25" width="10.7109375" style="389" hidden="1" customWidth="1"/>
    <col min="26" max="26" width="10.8515625" style="413" hidden="1" customWidth="1"/>
    <col min="27" max="27" width="9.140625" style="413" customWidth="1"/>
    <col min="28" max="28" width="9.8515625" style="413" customWidth="1"/>
    <col min="29" max="16384" width="9.140625" style="413" customWidth="1"/>
  </cols>
  <sheetData>
    <row r="1" spans="1:25" s="383" customFormat="1" ht="33" customHeight="1">
      <c r="A1" s="1327" t="s">
        <v>469</v>
      </c>
      <c r="B1" s="1327"/>
      <c r="C1" s="1327"/>
      <c r="D1" s="1327"/>
      <c r="E1" s="1327"/>
      <c r="F1" s="1327"/>
      <c r="G1" s="1327"/>
      <c r="H1" s="1327"/>
      <c r="I1" s="1327"/>
      <c r="J1" s="869"/>
      <c r="K1" s="808"/>
      <c r="L1" s="808"/>
      <c r="M1" s="808"/>
      <c r="N1" s="808"/>
      <c r="T1" s="808"/>
      <c r="X1" s="384"/>
      <c r="Y1" s="384"/>
    </row>
    <row r="2" spans="1:25" s="385" customFormat="1" ht="28.5" customHeight="1">
      <c r="A2" s="1328" t="s">
        <v>758</v>
      </c>
      <c r="B2" s="1328"/>
      <c r="C2" s="1328"/>
      <c r="D2" s="1328"/>
      <c r="E2" s="1328"/>
      <c r="F2" s="1328"/>
      <c r="G2" s="1328"/>
      <c r="H2" s="1328"/>
      <c r="I2" s="1328"/>
      <c r="J2" s="870"/>
      <c r="K2" s="809"/>
      <c r="L2" s="809"/>
      <c r="M2" s="809"/>
      <c r="N2" s="809"/>
      <c r="T2" s="809"/>
      <c r="X2" s="386"/>
      <c r="Y2" s="386"/>
    </row>
    <row r="3" spans="1:25" s="388" customFormat="1" ht="17.25" customHeight="1" thickBot="1">
      <c r="A3" s="1329" t="s">
        <v>147</v>
      </c>
      <c r="B3" s="1329"/>
      <c r="C3" s="1329"/>
      <c r="D3" s="387"/>
      <c r="E3" s="387"/>
      <c r="F3" s="387"/>
      <c r="G3" s="387"/>
      <c r="H3" s="387"/>
      <c r="I3" s="871"/>
      <c r="J3" s="872"/>
      <c r="K3" s="810"/>
      <c r="L3" s="810"/>
      <c r="M3" s="810"/>
      <c r="N3" s="810"/>
      <c r="T3" s="810"/>
      <c r="X3" s="389"/>
      <c r="Y3" s="389"/>
    </row>
    <row r="4" spans="1:25" s="392" customFormat="1" ht="30" customHeight="1" thickBot="1">
      <c r="A4" s="1310" t="s">
        <v>14</v>
      </c>
      <c r="B4" s="1311"/>
      <c r="C4" s="1311"/>
      <c r="D4" s="1311"/>
      <c r="E4" s="1311"/>
      <c r="F4" s="1311"/>
      <c r="G4" s="1311"/>
      <c r="H4" s="1311"/>
      <c r="I4" s="1311"/>
      <c r="J4" s="1311"/>
      <c r="K4" s="1311"/>
      <c r="L4" s="1311"/>
      <c r="M4" s="1311"/>
      <c r="N4" s="1311"/>
      <c r="O4" s="1311"/>
      <c r="P4" s="1311"/>
      <c r="Q4" s="1311"/>
      <c r="R4" s="1311"/>
      <c r="S4" s="1312"/>
      <c r="T4" s="811" t="s">
        <v>211</v>
      </c>
      <c r="U4" s="390"/>
      <c r="V4" s="391"/>
      <c r="X4" s="393"/>
      <c r="Y4" s="393"/>
    </row>
    <row r="5" spans="1:26" s="403" customFormat="1" ht="69.75" customHeight="1">
      <c r="A5" s="394" t="s">
        <v>9</v>
      </c>
      <c r="B5" s="395" t="s">
        <v>10</v>
      </c>
      <c r="C5" s="395" t="s">
        <v>468</v>
      </c>
      <c r="D5" s="396" t="s">
        <v>443</v>
      </c>
      <c r="E5" s="395" t="s">
        <v>134</v>
      </c>
      <c r="F5" s="396" t="s">
        <v>1025</v>
      </c>
      <c r="G5" s="396" t="s">
        <v>626</v>
      </c>
      <c r="H5" s="396" t="s">
        <v>627</v>
      </c>
      <c r="I5" s="725" t="s">
        <v>1026</v>
      </c>
      <c r="J5" s="725" t="s">
        <v>673</v>
      </c>
      <c r="K5" s="725" t="s">
        <v>628</v>
      </c>
      <c r="L5" s="725" t="s">
        <v>630</v>
      </c>
      <c r="M5" s="725" t="s">
        <v>233</v>
      </c>
      <c r="N5" s="873" t="s">
        <v>679</v>
      </c>
      <c r="O5" s="398" t="s">
        <v>345</v>
      </c>
      <c r="P5" s="396" t="s">
        <v>233</v>
      </c>
      <c r="Q5" s="398" t="s">
        <v>759</v>
      </c>
      <c r="R5" s="398" t="s">
        <v>674</v>
      </c>
      <c r="S5" s="866" t="s">
        <v>233</v>
      </c>
      <c r="T5" s="864" t="s">
        <v>966</v>
      </c>
      <c r="U5" s="939" t="s">
        <v>676</v>
      </c>
      <c r="V5" s="940" t="s">
        <v>680</v>
      </c>
      <c r="W5" s="401"/>
      <c r="X5" s="402" t="s">
        <v>675</v>
      </c>
      <c r="Y5" s="402" t="s">
        <v>675</v>
      </c>
      <c r="Z5" s="402" t="s">
        <v>681</v>
      </c>
    </row>
    <row r="6" spans="1:26" ht="30" customHeight="1" hidden="1" thickBot="1">
      <c r="A6" s="415">
        <v>1</v>
      </c>
      <c r="B6" s="416" t="s">
        <v>8</v>
      </c>
      <c r="C6" s="417">
        <v>12</v>
      </c>
      <c r="D6" s="418" t="s">
        <v>453</v>
      </c>
      <c r="E6" s="328" t="s">
        <v>441</v>
      </c>
      <c r="F6" s="424"/>
      <c r="G6" s="424"/>
      <c r="H6" s="424"/>
      <c r="I6" s="881">
        <f>177000-177000</f>
        <v>0</v>
      </c>
      <c r="J6" s="769"/>
      <c r="K6" s="770">
        <v>0</v>
      </c>
      <c r="L6" s="769"/>
      <c r="M6" s="769"/>
      <c r="N6" s="770">
        <v>0</v>
      </c>
      <c r="O6" s="771"/>
      <c r="P6" s="928"/>
      <c r="Q6" s="770">
        <v>0</v>
      </c>
      <c r="R6" s="421"/>
      <c r="S6" s="461"/>
      <c r="T6" s="772"/>
      <c r="U6" s="421"/>
      <c r="V6" s="422"/>
      <c r="X6" s="414">
        <f>IF(T6&gt;(F6+K6),"ERRORE","")</f>
      </c>
      <c r="Y6" s="414">
        <f>IF(U6&gt;(F6+N6),"ERRORE","")</f>
      </c>
      <c r="Z6" s="414">
        <f>IF(V6&gt;(F6+Q6),"ERRORE","")</f>
      </c>
    </row>
    <row r="7" spans="1:26" ht="30" customHeight="1">
      <c r="A7" s="415">
        <v>1</v>
      </c>
      <c r="B7" s="416" t="s">
        <v>8</v>
      </c>
      <c r="C7" s="417">
        <v>13</v>
      </c>
      <c r="D7" s="418" t="s">
        <v>685</v>
      </c>
      <c r="E7" s="328" t="s">
        <v>729</v>
      </c>
      <c r="F7" s="424">
        <v>20246.14</v>
      </c>
      <c r="G7" s="424"/>
      <c r="H7" s="424"/>
      <c r="I7" s="881">
        <v>10000</v>
      </c>
      <c r="J7" s="876"/>
      <c r="K7" s="881">
        <v>19000</v>
      </c>
      <c r="L7" s="876"/>
      <c r="M7" s="876"/>
      <c r="N7" s="881">
        <v>17000</v>
      </c>
      <c r="O7" s="1087"/>
      <c r="P7" s="891"/>
      <c r="Q7" s="881">
        <v>10000</v>
      </c>
      <c r="R7" s="421"/>
      <c r="S7" s="491"/>
      <c r="T7" s="1291">
        <f aca="true" t="shared" si="0" ref="T7:T13">F7+K7</f>
        <v>39246.14</v>
      </c>
      <c r="U7" s="421"/>
      <c r="V7" s="422"/>
      <c r="X7" s="414">
        <f>IF(T7&gt;(F7+K7),"ERRORE","")</f>
      </c>
      <c r="Y7" s="414">
        <f>IF(U7&gt;(F7+N7),"ERRORE","")</f>
      </c>
      <c r="Z7" s="414">
        <f>IF(V7&gt;(F7+Q7),"ERRORE","")</f>
      </c>
    </row>
    <row r="8" spans="1:26" ht="30" customHeight="1">
      <c r="A8" s="415">
        <v>1</v>
      </c>
      <c r="B8" s="416" t="s">
        <v>8</v>
      </c>
      <c r="C8" s="417">
        <v>15</v>
      </c>
      <c r="D8" s="418" t="s">
        <v>450</v>
      </c>
      <c r="E8" s="328" t="s">
        <v>726</v>
      </c>
      <c r="F8" s="424">
        <v>132334.46</v>
      </c>
      <c r="G8" s="424"/>
      <c r="H8" s="424"/>
      <c r="I8" s="881">
        <f>40000+11957.59</f>
        <v>51957.59</v>
      </c>
      <c r="J8" s="876"/>
      <c r="K8" s="881">
        <v>80000</v>
      </c>
      <c r="L8" s="876"/>
      <c r="M8" s="876"/>
      <c r="N8" s="881">
        <v>58000</v>
      </c>
      <c r="O8" s="1087"/>
      <c r="P8" s="881"/>
      <c r="Q8" s="881">
        <v>44000</v>
      </c>
      <c r="R8" s="421"/>
      <c r="S8" s="422"/>
      <c r="T8" s="1291">
        <f t="shared" si="0"/>
        <v>212334.46</v>
      </c>
      <c r="U8" s="421"/>
      <c r="V8" s="422"/>
      <c r="X8" s="414">
        <f aca="true" t="shared" si="1" ref="X8:X111">IF(T8&gt;(F8+K8),"ERRORE","")</f>
      </c>
      <c r="Y8" s="414">
        <f aca="true" t="shared" si="2" ref="Y8:Y111">IF(U8&gt;(F8+N8),"ERRORE","")</f>
      </c>
      <c r="Z8" s="414">
        <f aca="true" t="shared" si="3" ref="Z8:Z111">IF(V8&gt;(F8+Q8),"ERRORE","")</f>
      </c>
    </row>
    <row r="9" spans="1:26" ht="30" customHeight="1">
      <c r="A9" s="404">
        <v>1</v>
      </c>
      <c r="B9" s="405">
        <v>101</v>
      </c>
      <c r="C9" s="406">
        <v>16</v>
      </c>
      <c r="D9" s="407" t="s">
        <v>451</v>
      </c>
      <c r="E9" s="408" t="s">
        <v>138</v>
      </c>
      <c r="F9" s="409">
        <v>307000</v>
      </c>
      <c r="G9" s="409"/>
      <c r="H9" s="409"/>
      <c r="I9" s="874">
        <f>500000+117000</f>
        <v>617000</v>
      </c>
      <c r="J9" s="875"/>
      <c r="K9" s="874">
        <v>660000</v>
      </c>
      <c r="L9" s="875"/>
      <c r="M9" s="875"/>
      <c r="N9" s="874">
        <v>660000</v>
      </c>
      <c r="O9" s="880"/>
      <c r="P9" s="880"/>
      <c r="Q9" s="874">
        <v>660000</v>
      </c>
      <c r="R9" s="411"/>
      <c r="S9" s="938"/>
      <c r="T9" s="813">
        <f t="shared" si="0"/>
        <v>967000</v>
      </c>
      <c r="U9" s="411"/>
      <c r="V9" s="412"/>
      <c r="X9" s="414">
        <f>IF(T9&gt;(F9+K9),"ERRORE","")</f>
      </c>
      <c r="Y9" s="414">
        <f>IF(U9&gt;(F9+N9),"ERRORE","")</f>
      </c>
      <c r="Z9" s="414">
        <f>IF(V9&gt;(F9+Q9),"ERRORE","")</f>
      </c>
    </row>
    <row r="10" spans="1:26" ht="30" customHeight="1">
      <c r="A10" s="415">
        <v>1</v>
      </c>
      <c r="B10" s="416" t="s">
        <v>8</v>
      </c>
      <c r="C10" s="417">
        <v>20</v>
      </c>
      <c r="D10" s="418" t="s">
        <v>452</v>
      </c>
      <c r="E10" s="423" t="s">
        <v>139</v>
      </c>
      <c r="F10" s="419">
        <v>0</v>
      </c>
      <c r="G10" s="419"/>
      <c r="H10" s="419"/>
      <c r="I10" s="770">
        <f>225000+7000</f>
        <v>232000</v>
      </c>
      <c r="J10" s="769"/>
      <c r="K10" s="770">
        <v>180000</v>
      </c>
      <c r="L10" s="769"/>
      <c r="M10" s="769"/>
      <c r="N10" s="770">
        <v>180000</v>
      </c>
      <c r="O10" s="769"/>
      <c r="P10" s="770"/>
      <c r="Q10" s="770">
        <v>180000</v>
      </c>
      <c r="R10" s="421"/>
      <c r="S10" s="422"/>
      <c r="T10" s="813">
        <f t="shared" si="0"/>
        <v>180000</v>
      </c>
      <c r="U10" s="421"/>
      <c r="V10" s="422"/>
      <c r="X10" s="414">
        <f t="shared" si="1"/>
      </c>
      <c r="Y10" s="414">
        <f t="shared" si="2"/>
      </c>
      <c r="Z10" s="414">
        <f t="shared" si="3"/>
      </c>
    </row>
    <row r="11" spans="1:26" ht="30" customHeight="1">
      <c r="A11" s="415">
        <v>1</v>
      </c>
      <c r="B11" s="416" t="s">
        <v>8</v>
      </c>
      <c r="C11" s="417">
        <v>30</v>
      </c>
      <c r="D11" s="418" t="s">
        <v>94</v>
      </c>
      <c r="E11" s="423" t="s">
        <v>149</v>
      </c>
      <c r="F11" s="419">
        <v>19500</v>
      </c>
      <c r="G11" s="419"/>
      <c r="H11" s="419"/>
      <c r="I11" s="770">
        <v>9000</v>
      </c>
      <c r="J11" s="769"/>
      <c r="K11" s="770">
        <v>9000</v>
      </c>
      <c r="L11" s="769"/>
      <c r="M11" s="769"/>
      <c r="N11" s="770">
        <v>9000</v>
      </c>
      <c r="O11" s="769"/>
      <c r="P11" s="770"/>
      <c r="Q11" s="770">
        <v>9000</v>
      </c>
      <c r="R11" s="421"/>
      <c r="S11" s="422"/>
      <c r="T11" s="813">
        <f t="shared" si="0"/>
        <v>28500</v>
      </c>
      <c r="U11" s="421"/>
      <c r="V11" s="422"/>
      <c r="X11" s="414">
        <f t="shared" si="1"/>
      </c>
      <c r="Y11" s="414">
        <f t="shared" si="2"/>
      </c>
      <c r="Z11" s="414">
        <f t="shared" si="3"/>
      </c>
    </row>
    <row r="12" spans="1:26" ht="30" customHeight="1">
      <c r="A12" s="415">
        <v>1</v>
      </c>
      <c r="B12" s="416" t="s">
        <v>8</v>
      </c>
      <c r="C12" s="417">
        <v>71</v>
      </c>
      <c r="D12" s="418" t="s">
        <v>453</v>
      </c>
      <c r="E12" s="328" t="s">
        <v>728</v>
      </c>
      <c r="F12" s="424">
        <v>102580.28</v>
      </c>
      <c r="G12" s="424"/>
      <c r="H12" s="424"/>
      <c r="I12" s="881">
        <f>20000+15000</f>
        <v>35000</v>
      </c>
      <c r="J12" s="876"/>
      <c r="K12" s="881">
        <v>35000</v>
      </c>
      <c r="L12" s="881"/>
      <c r="M12" s="881"/>
      <c r="N12" s="881">
        <v>25000</v>
      </c>
      <c r="O12" s="1087"/>
      <c r="P12" s="881"/>
      <c r="Q12" s="881">
        <v>20000</v>
      </c>
      <c r="R12" s="421"/>
      <c r="S12" s="422"/>
      <c r="T12" s="1291">
        <f t="shared" si="0"/>
        <v>137580.28</v>
      </c>
      <c r="U12" s="421"/>
      <c r="V12" s="422"/>
      <c r="X12" s="414">
        <f>IF(T12&gt;(F12+K12),"ERRORE","")</f>
      </c>
      <c r="Y12" s="414">
        <f>IF(U12&gt;(F12+N12),"ERRORE","")</f>
      </c>
      <c r="Z12" s="414">
        <f>IF(V12&gt;(F12+Q12),"ERRORE","")</f>
      </c>
    </row>
    <row r="13" spans="1:26" ht="30" customHeight="1" thickBot="1">
      <c r="A13" s="415">
        <v>1</v>
      </c>
      <c r="B13" s="416" t="s">
        <v>8</v>
      </c>
      <c r="C13" s="417">
        <v>76</v>
      </c>
      <c r="D13" s="418" t="s">
        <v>453</v>
      </c>
      <c r="E13" s="328" t="s">
        <v>727</v>
      </c>
      <c r="F13" s="424">
        <v>347368.32</v>
      </c>
      <c r="G13" s="424"/>
      <c r="H13" s="424"/>
      <c r="I13" s="881">
        <f>275000+10543</f>
        <v>285543</v>
      </c>
      <c r="J13" s="876"/>
      <c r="K13" s="881">
        <v>285000</v>
      </c>
      <c r="L13" s="881"/>
      <c r="M13" s="881"/>
      <c r="N13" s="881">
        <v>309000</v>
      </c>
      <c r="O13" s="1087"/>
      <c r="P13" s="881"/>
      <c r="Q13" s="881">
        <v>309000</v>
      </c>
      <c r="R13" s="421"/>
      <c r="S13" s="422"/>
      <c r="T13" s="813">
        <f t="shared" si="0"/>
        <v>632368.3200000001</v>
      </c>
      <c r="U13" s="421"/>
      <c r="V13" s="422"/>
      <c r="X13" s="414">
        <f t="shared" si="1"/>
      </c>
      <c r="Y13" s="414">
        <f t="shared" si="2"/>
      </c>
      <c r="Z13" s="414">
        <f t="shared" si="3"/>
      </c>
    </row>
    <row r="14" spans="1:26" ht="30" customHeight="1" thickBot="1">
      <c r="A14" s="1307" t="s">
        <v>612</v>
      </c>
      <c r="B14" s="1308"/>
      <c r="C14" s="1308"/>
      <c r="D14" s="1308"/>
      <c r="E14" s="1309"/>
      <c r="F14" s="425">
        <f aca="true" t="shared" si="4" ref="F14:V14">SUM(F6:F13)</f>
        <v>929029.2</v>
      </c>
      <c r="G14" s="425">
        <f t="shared" si="4"/>
        <v>0</v>
      </c>
      <c r="H14" s="425">
        <f t="shared" si="4"/>
        <v>0</v>
      </c>
      <c r="I14" s="877">
        <f t="shared" si="4"/>
        <v>1240500.5899999999</v>
      </c>
      <c r="J14" s="877">
        <f t="shared" si="4"/>
        <v>0</v>
      </c>
      <c r="K14" s="877">
        <f t="shared" si="4"/>
        <v>1268000</v>
      </c>
      <c r="L14" s="877">
        <f t="shared" si="4"/>
        <v>0</v>
      </c>
      <c r="M14" s="877">
        <f t="shared" si="4"/>
        <v>0</v>
      </c>
      <c r="N14" s="877">
        <f t="shared" si="4"/>
        <v>1258000</v>
      </c>
      <c r="O14" s="877">
        <f t="shared" si="4"/>
        <v>0</v>
      </c>
      <c r="P14" s="877">
        <f t="shared" si="4"/>
        <v>0</v>
      </c>
      <c r="Q14" s="877">
        <f t="shared" si="4"/>
        <v>1232000</v>
      </c>
      <c r="R14" s="425">
        <f t="shared" si="4"/>
        <v>0</v>
      </c>
      <c r="S14" s="428">
        <f t="shared" si="4"/>
        <v>0</v>
      </c>
      <c r="T14" s="814">
        <f t="shared" si="4"/>
        <v>2197029.2</v>
      </c>
      <c r="U14" s="427">
        <f t="shared" si="4"/>
        <v>0</v>
      </c>
      <c r="V14" s="428">
        <f t="shared" si="4"/>
        <v>0</v>
      </c>
      <c r="X14" s="414">
        <f t="shared" si="1"/>
      </c>
      <c r="Y14" s="414">
        <f t="shared" si="2"/>
      </c>
      <c r="Z14" s="414">
        <f t="shared" si="3"/>
      </c>
    </row>
    <row r="15" spans="1:26" ht="30" customHeight="1" thickBot="1">
      <c r="A15" s="415">
        <v>1</v>
      </c>
      <c r="B15" s="416" t="s">
        <v>16</v>
      </c>
      <c r="C15" s="429">
        <v>80</v>
      </c>
      <c r="D15" s="418" t="s">
        <v>444</v>
      </c>
      <c r="E15" s="423" t="s">
        <v>137</v>
      </c>
      <c r="F15" s="419">
        <v>176836.55</v>
      </c>
      <c r="G15" s="419"/>
      <c r="H15" s="419"/>
      <c r="I15" s="770">
        <v>455000</v>
      </c>
      <c r="J15" s="769"/>
      <c r="K15" s="769">
        <v>455000</v>
      </c>
      <c r="L15" s="769"/>
      <c r="M15" s="769"/>
      <c r="N15" s="770">
        <v>450000</v>
      </c>
      <c r="O15" s="769"/>
      <c r="P15" s="769"/>
      <c r="Q15" s="770">
        <v>450000</v>
      </c>
      <c r="R15" s="421"/>
      <c r="S15" s="867"/>
      <c r="T15" s="772">
        <f>F15+K15</f>
        <v>631836.55</v>
      </c>
      <c r="U15" s="421"/>
      <c r="V15" s="422"/>
      <c r="X15" s="414">
        <f t="shared" si="1"/>
      </c>
      <c r="Y15" s="414">
        <f t="shared" si="2"/>
      </c>
      <c r="Z15" s="414">
        <f t="shared" si="3"/>
      </c>
    </row>
    <row r="16" spans="1:26" ht="30" customHeight="1" thickBot="1">
      <c r="A16" s="1307" t="s">
        <v>613</v>
      </c>
      <c r="B16" s="1308"/>
      <c r="C16" s="1308"/>
      <c r="D16" s="1308"/>
      <c r="E16" s="1309"/>
      <c r="F16" s="425">
        <f aca="true" t="shared" si="5" ref="F16:V16">SUM(F15:F15)</f>
        <v>176836.55</v>
      </c>
      <c r="G16" s="425">
        <f t="shared" si="5"/>
        <v>0</v>
      </c>
      <c r="H16" s="425">
        <f t="shared" si="5"/>
        <v>0</v>
      </c>
      <c r="I16" s="877">
        <f t="shared" si="5"/>
        <v>455000</v>
      </c>
      <c r="J16" s="877">
        <f t="shared" si="5"/>
        <v>0</v>
      </c>
      <c r="K16" s="877">
        <f t="shared" si="5"/>
        <v>455000</v>
      </c>
      <c r="L16" s="877">
        <f t="shared" si="5"/>
        <v>0</v>
      </c>
      <c r="M16" s="877">
        <f t="shared" si="5"/>
        <v>0</v>
      </c>
      <c r="N16" s="877">
        <f t="shared" si="5"/>
        <v>450000</v>
      </c>
      <c r="O16" s="877">
        <f t="shared" si="5"/>
        <v>0</v>
      </c>
      <c r="P16" s="877">
        <f t="shared" si="5"/>
        <v>0</v>
      </c>
      <c r="Q16" s="877">
        <f t="shared" si="5"/>
        <v>450000</v>
      </c>
      <c r="R16" s="425">
        <f t="shared" si="5"/>
        <v>0</v>
      </c>
      <c r="S16" s="428">
        <f t="shared" si="5"/>
        <v>0</v>
      </c>
      <c r="T16" s="814">
        <f t="shared" si="5"/>
        <v>631836.55</v>
      </c>
      <c r="U16" s="427">
        <f t="shared" si="5"/>
        <v>0</v>
      </c>
      <c r="V16" s="428">
        <f t="shared" si="5"/>
        <v>0</v>
      </c>
      <c r="X16" s="414">
        <f t="shared" si="1"/>
      </c>
      <c r="Y16" s="414">
        <f t="shared" si="2"/>
      </c>
      <c r="Z16" s="414">
        <f t="shared" si="3"/>
      </c>
    </row>
    <row r="17" spans="1:26" s="433" customFormat="1" ht="30" customHeight="1" thickBot="1">
      <c r="A17" s="1313" t="s">
        <v>13</v>
      </c>
      <c r="B17" s="1314"/>
      <c r="C17" s="1314"/>
      <c r="D17" s="1314"/>
      <c r="E17" s="1314"/>
      <c r="F17" s="1064">
        <f aca="true" t="shared" si="6" ref="F17:V17">F14+F16</f>
        <v>1105865.75</v>
      </c>
      <c r="G17" s="1064">
        <f t="shared" si="6"/>
        <v>0</v>
      </c>
      <c r="H17" s="1064">
        <f t="shared" si="6"/>
        <v>0</v>
      </c>
      <c r="I17" s="1064">
        <f t="shared" si="6"/>
        <v>1695500.5899999999</v>
      </c>
      <c r="J17" s="1064">
        <f t="shared" si="6"/>
        <v>0</v>
      </c>
      <c r="K17" s="1064">
        <f t="shared" si="6"/>
        <v>1723000</v>
      </c>
      <c r="L17" s="1064">
        <f t="shared" si="6"/>
        <v>0</v>
      </c>
      <c r="M17" s="1064">
        <f t="shared" si="6"/>
        <v>0</v>
      </c>
      <c r="N17" s="1064">
        <f t="shared" si="6"/>
        <v>1708000</v>
      </c>
      <c r="O17" s="1064">
        <f t="shared" si="6"/>
        <v>0</v>
      </c>
      <c r="P17" s="1064">
        <f t="shared" si="6"/>
        <v>0</v>
      </c>
      <c r="Q17" s="1064">
        <f t="shared" si="6"/>
        <v>1682000</v>
      </c>
      <c r="R17" s="1064">
        <f t="shared" si="6"/>
        <v>0</v>
      </c>
      <c r="S17" s="1065">
        <f t="shared" si="6"/>
        <v>0</v>
      </c>
      <c r="T17" s="1066">
        <f t="shared" si="6"/>
        <v>2828865.75</v>
      </c>
      <c r="U17" s="1059">
        <f t="shared" si="6"/>
        <v>0</v>
      </c>
      <c r="V17" s="1039">
        <f t="shared" si="6"/>
        <v>0</v>
      </c>
      <c r="X17" s="414">
        <f t="shared" si="1"/>
      </c>
      <c r="Y17" s="414">
        <f t="shared" si="2"/>
      </c>
      <c r="Z17" s="414">
        <f t="shared" si="3"/>
      </c>
    </row>
    <row r="18" spans="1:26" s="433" customFormat="1" ht="30" customHeight="1" thickBot="1">
      <c r="A18" s="1310" t="s">
        <v>12</v>
      </c>
      <c r="B18" s="1311"/>
      <c r="C18" s="1311"/>
      <c r="D18" s="1311"/>
      <c r="E18" s="1311"/>
      <c r="F18" s="1311"/>
      <c r="G18" s="1311"/>
      <c r="H18" s="1311"/>
      <c r="I18" s="1311"/>
      <c r="J18" s="1311"/>
      <c r="K18" s="1311"/>
      <c r="L18" s="1311"/>
      <c r="M18" s="1311"/>
      <c r="N18" s="1311"/>
      <c r="O18" s="1311"/>
      <c r="P18" s="1311"/>
      <c r="Q18" s="1311"/>
      <c r="R18" s="1311"/>
      <c r="S18" s="1311"/>
      <c r="T18" s="1311"/>
      <c r="U18" s="1311"/>
      <c r="V18" s="1312"/>
      <c r="X18" s="414"/>
      <c r="Y18" s="414">
        <f t="shared" si="2"/>
      </c>
      <c r="Z18" s="414">
        <f t="shared" si="3"/>
      </c>
    </row>
    <row r="19" spans="1:26" s="438" customFormat="1" ht="69" customHeight="1">
      <c r="A19" s="394" t="str">
        <f>A5</f>
        <v>Titolo</v>
      </c>
      <c r="B19" s="395" t="str">
        <f>B5</f>
        <v>Tipologia</v>
      </c>
      <c r="C19" s="395" t="str">
        <f>C5</f>
        <v>Capitolo</v>
      </c>
      <c r="D19" s="396" t="s">
        <v>443</v>
      </c>
      <c r="E19" s="395" t="str">
        <f aca="true" t="shared" si="7" ref="E19:V19">E5</f>
        <v>DESCRIZIONE</v>
      </c>
      <c r="F19" s="395" t="str">
        <f t="shared" si="7"/>
        <v>RESIDUI PRESUNTI AL 31.12.2020              AL 12.01.2021</v>
      </c>
      <c r="G19" s="395" t="str">
        <f t="shared" si="7"/>
        <v>PREVISIONE INIZIALE 2018</v>
      </c>
      <c r="H19" s="395" t="str">
        <f t="shared" si="7"/>
        <v>ACCERTAMENTI 2018 ALLA DATA DEL </v>
      </c>
      <c r="I19" s="744" t="str">
        <f t="shared" si="7"/>
        <v>PREVISIONE 2020                            al 12.01.2021</v>
      </c>
      <c r="J19" s="744" t="str">
        <f t="shared" si="7"/>
        <v>PREVISIONE 2018                                                (solo FPV)</v>
      </c>
      <c r="K19" s="744" t="str">
        <f t="shared" si="7"/>
        <v>PREVISIONE 2021</v>
      </c>
      <c r="L19" s="744" t="str">
        <f t="shared" si="7"/>
        <v>PREVISIONE 2019                               (solo FPV)</v>
      </c>
      <c r="M19" s="744" t="str">
        <f t="shared" si="7"/>
        <v>F.P.V. rinveniente da debito</v>
      </c>
      <c r="N19" s="878" t="str">
        <f t="shared" si="7"/>
        <v>PREVISIONE 2022</v>
      </c>
      <c r="O19" s="434" t="str">
        <f t="shared" si="7"/>
        <v>PREVISIONE 2020                      (solo FPV)</v>
      </c>
      <c r="P19" s="434" t="str">
        <f t="shared" si="7"/>
        <v>F.P.V. rinveniente da debito</v>
      </c>
      <c r="Q19" s="435" t="str">
        <f t="shared" si="7"/>
        <v>PREVISIONE 2023</v>
      </c>
      <c r="R19" s="400" t="str">
        <f t="shared" si="7"/>
        <v>PREVISIONE 2021                     (solo FPV)</v>
      </c>
      <c r="S19" s="400" t="str">
        <f t="shared" si="7"/>
        <v>F.P.V. rinveniente da debito</v>
      </c>
      <c r="T19" s="812" t="str">
        <f t="shared" si="7"/>
        <v>PREVISIONE DI CASSA 2021</v>
      </c>
      <c r="U19" s="1047" t="str">
        <f t="shared" si="7"/>
        <v>PEVISIONE DI CASSA 2021</v>
      </c>
      <c r="V19" s="400" t="str">
        <f t="shared" si="7"/>
        <v>PEVISIONE DI CASSA 2022</v>
      </c>
      <c r="X19" s="414"/>
      <c r="Y19" s="414"/>
      <c r="Z19" s="414"/>
    </row>
    <row r="20" spans="1:26" ht="30" customHeight="1">
      <c r="A20" s="404">
        <v>2</v>
      </c>
      <c r="B20" s="405" t="s">
        <v>8</v>
      </c>
      <c r="C20" s="406">
        <v>130</v>
      </c>
      <c r="D20" s="439" t="s">
        <v>454</v>
      </c>
      <c r="E20" s="440" t="s">
        <v>470</v>
      </c>
      <c r="F20" s="886">
        <v>0</v>
      </c>
      <c r="G20" s="886"/>
      <c r="H20" s="886"/>
      <c r="I20" s="879">
        <v>48000</v>
      </c>
      <c r="J20" s="879"/>
      <c r="K20" s="880">
        <v>48000</v>
      </c>
      <c r="L20" s="880"/>
      <c r="M20" s="880"/>
      <c r="N20" s="879">
        <v>48000</v>
      </c>
      <c r="O20" s="880"/>
      <c r="P20" s="880"/>
      <c r="Q20" s="879">
        <v>48000</v>
      </c>
      <c r="R20" s="442"/>
      <c r="S20" s="442"/>
      <c r="T20" s="813">
        <f>F20+K20</f>
        <v>48000</v>
      </c>
      <c r="U20" s="411"/>
      <c r="V20" s="412"/>
      <c r="X20" s="414">
        <f t="shared" si="1"/>
      </c>
      <c r="Y20" s="414">
        <f t="shared" si="2"/>
      </c>
      <c r="Z20" s="414">
        <f t="shared" si="3"/>
      </c>
    </row>
    <row r="21" spans="1:26" ht="30" customHeight="1">
      <c r="A21" s="404">
        <v>2</v>
      </c>
      <c r="B21" s="405" t="s">
        <v>8</v>
      </c>
      <c r="C21" s="406">
        <v>131</v>
      </c>
      <c r="D21" s="439" t="s">
        <v>905</v>
      </c>
      <c r="E21" s="440" t="s">
        <v>934</v>
      </c>
      <c r="F21" s="886">
        <v>5000.95</v>
      </c>
      <c r="G21" s="886"/>
      <c r="H21" s="886"/>
      <c r="I21" s="874">
        <v>5100</v>
      </c>
      <c r="J21" s="875"/>
      <c r="K21" s="1222"/>
      <c r="L21" s="1222"/>
      <c r="M21" s="1222"/>
      <c r="N21" s="1223"/>
      <c r="O21" s="1222"/>
      <c r="P21" s="1222"/>
      <c r="Q21" s="1223"/>
      <c r="R21" s="411"/>
      <c r="S21" s="411"/>
      <c r="T21" s="813">
        <f>F21+K21</f>
        <v>5000.95</v>
      </c>
      <c r="U21" s="411"/>
      <c r="V21" s="412"/>
      <c r="X21" s="414">
        <f>IF(T21&gt;(F21+K21),"ERRORE","")</f>
      </c>
      <c r="Y21" s="414"/>
      <c r="Z21" s="414"/>
    </row>
    <row r="22" spans="1:26" ht="30" customHeight="1">
      <c r="A22" s="404">
        <v>2</v>
      </c>
      <c r="B22" s="405" t="s">
        <v>8</v>
      </c>
      <c r="C22" s="406">
        <v>132</v>
      </c>
      <c r="D22" s="439" t="s">
        <v>905</v>
      </c>
      <c r="E22" s="440" t="s">
        <v>906</v>
      </c>
      <c r="F22" s="886">
        <v>19807.72</v>
      </c>
      <c r="G22" s="886"/>
      <c r="H22" s="886"/>
      <c r="I22" s="874">
        <v>62351.82</v>
      </c>
      <c r="J22" s="875"/>
      <c r="K22" s="1222"/>
      <c r="L22" s="1222"/>
      <c r="M22" s="1222"/>
      <c r="N22" s="1223"/>
      <c r="O22" s="1222"/>
      <c r="P22" s="1222"/>
      <c r="Q22" s="1223"/>
      <c r="R22" s="411"/>
      <c r="S22" s="411"/>
      <c r="T22" s="813">
        <f aca="true" t="shared" si="8" ref="T22:T45">F22+K22</f>
        <v>19807.72</v>
      </c>
      <c r="U22" s="411"/>
      <c r="V22" s="412"/>
      <c r="X22" s="414">
        <f t="shared" si="1"/>
      </c>
      <c r="Y22" s="414"/>
      <c r="Z22" s="414"/>
    </row>
    <row r="23" spans="1:26" ht="30" customHeight="1">
      <c r="A23" s="404">
        <v>2</v>
      </c>
      <c r="B23" s="405" t="s">
        <v>8</v>
      </c>
      <c r="C23" s="465" t="s">
        <v>967</v>
      </c>
      <c r="D23" s="439" t="s">
        <v>905</v>
      </c>
      <c r="E23" s="440" t="s">
        <v>968</v>
      </c>
      <c r="F23" s="886">
        <v>0</v>
      </c>
      <c r="G23" s="886"/>
      <c r="H23" s="886"/>
      <c r="I23" s="874">
        <v>60000</v>
      </c>
      <c r="J23" s="875"/>
      <c r="K23" s="1222"/>
      <c r="L23" s="1222"/>
      <c r="M23" s="1222"/>
      <c r="N23" s="1223"/>
      <c r="O23" s="1222"/>
      <c r="P23" s="1222"/>
      <c r="Q23" s="1223"/>
      <c r="R23" s="411"/>
      <c r="S23" s="411"/>
      <c r="T23" s="813">
        <f>F23+K23</f>
        <v>0</v>
      </c>
      <c r="U23" s="411"/>
      <c r="V23" s="412"/>
      <c r="X23" s="414">
        <f>IF(T23&gt;(F23+K23),"ERRORE","")</f>
      </c>
      <c r="Y23" s="414"/>
      <c r="Z23" s="414"/>
    </row>
    <row r="24" spans="1:26" ht="30" customHeight="1">
      <c r="A24" s="404">
        <v>2</v>
      </c>
      <c r="B24" s="405" t="s">
        <v>8</v>
      </c>
      <c r="C24" s="465" t="s">
        <v>969</v>
      </c>
      <c r="D24" s="439" t="s">
        <v>905</v>
      </c>
      <c r="E24" s="440" t="s">
        <v>970</v>
      </c>
      <c r="F24" s="886">
        <v>0</v>
      </c>
      <c r="G24" s="886"/>
      <c r="H24" s="886"/>
      <c r="I24" s="874">
        <v>24000</v>
      </c>
      <c r="J24" s="875"/>
      <c r="K24" s="875">
        <v>24000</v>
      </c>
      <c r="L24" s="1222"/>
      <c r="M24" s="1222"/>
      <c r="N24" s="1223"/>
      <c r="O24" s="1222"/>
      <c r="P24" s="1222"/>
      <c r="Q24" s="1223"/>
      <c r="R24" s="411"/>
      <c r="S24" s="411"/>
      <c r="T24" s="813">
        <f>F24+K24</f>
        <v>24000</v>
      </c>
      <c r="U24" s="411"/>
      <c r="V24" s="412"/>
      <c r="X24" s="414">
        <f>IF(T24&gt;(F24+K24),"ERRORE","")</f>
      </c>
      <c r="Y24" s="414"/>
      <c r="Z24" s="414"/>
    </row>
    <row r="25" spans="1:26" ht="30" customHeight="1">
      <c r="A25" s="404">
        <v>2</v>
      </c>
      <c r="B25" s="405" t="s">
        <v>8</v>
      </c>
      <c r="C25" s="465" t="s">
        <v>969</v>
      </c>
      <c r="D25" s="439" t="s">
        <v>905</v>
      </c>
      <c r="E25" s="440" t="s">
        <v>971</v>
      </c>
      <c r="F25" s="886">
        <v>0</v>
      </c>
      <c r="G25" s="886"/>
      <c r="H25" s="886"/>
      <c r="I25" s="874">
        <v>7000</v>
      </c>
      <c r="J25" s="875"/>
      <c r="K25" s="1222"/>
      <c r="L25" s="1222"/>
      <c r="M25" s="1222"/>
      <c r="N25" s="1223"/>
      <c r="O25" s="1222"/>
      <c r="P25" s="1222"/>
      <c r="Q25" s="1223"/>
      <c r="R25" s="411"/>
      <c r="S25" s="411"/>
      <c r="T25" s="813">
        <f>F25+K25</f>
        <v>0</v>
      </c>
      <c r="U25" s="411"/>
      <c r="V25" s="412"/>
      <c r="X25" s="414">
        <f>IF(T25&gt;(F25+K25),"ERRORE","")</f>
      </c>
      <c r="Y25" s="414"/>
      <c r="Z25" s="414"/>
    </row>
    <row r="26" spans="1:26" ht="38.25" customHeight="1">
      <c r="A26" s="404">
        <v>2</v>
      </c>
      <c r="B26" s="405" t="s">
        <v>8</v>
      </c>
      <c r="C26" s="465" t="s">
        <v>969</v>
      </c>
      <c r="D26" s="439" t="s">
        <v>905</v>
      </c>
      <c r="E26" s="440" t="s">
        <v>972</v>
      </c>
      <c r="F26" s="886">
        <v>0</v>
      </c>
      <c r="G26" s="886"/>
      <c r="H26" s="886"/>
      <c r="I26" s="874">
        <v>4000</v>
      </c>
      <c r="J26" s="875"/>
      <c r="K26" s="1222"/>
      <c r="L26" s="1222"/>
      <c r="M26" s="1222"/>
      <c r="N26" s="1223"/>
      <c r="O26" s="1222"/>
      <c r="P26" s="1222"/>
      <c r="Q26" s="1223"/>
      <c r="R26" s="411"/>
      <c r="S26" s="411"/>
      <c r="T26" s="813">
        <f>F26+K26</f>
        <v>0</v>
      </c>
      <c r="U26" s="411"/>
      <c r="V26" s="412"/>
      <c r="X26" s="414">
        <f>IF(T26&gt;(F26+K26),"ERRORE","")</f>
      </c>
      <c r="Y26" s="414"/>
      <c r="Z26" s="414"/>
    </row>
    <row r="27" spans="1:26" ht="30" customHeight="1">
      <c r="A27" s="404">
        <v>2</v>
      </c>
      <c r="B27" s="405" t="s">
        <v>8</v>
      </c>
      <c r="C27" s="406">
        <v>134</v>
      </c>
      <c r="D27" s="439" t="s">
        <v>905</v>
      </c>
      <c r="E27" s="440" t="s">
        <v>935</v>
      </c>
      <c r="F27" s="886">
        <v>7789.79</v>
      </c>
      <c r="G27" s="886"/>
      <c r="H27" s="886"/>
      <c r="I27" s="874">
        <v>7808.51</v>
      </c>
      <c r="J27" s="875"/>
      <c r="K27" s="1222"/>
      <c r="L27" s="1222"/>
      <c r="M27" s="1222"/>
      <c r="N27" s="1223"/>
      <c r="O27" s="1222"/>
      <c r="P27" s="1222"/>
      <c r="Q27" s="1223"/>
      <c r="R27" s="411"/>
      <c r="S27" s="411"/>
      <c r="T27" s="813">
        <f t="shared" si="8"/>
        <v>7789.79</v>
      </c>
      <c r="U27" s="411"/>
      <c r="V27" s="412"/>
      <c r="X27" s="414">
        <f>IF(T27&gt;(F27+K27),"ERRORE","")</f>
      </c>
      <c r="Y27" s="414"/>
      <c r="Z27" s="414"/>
    </row>
    <row r="28" spans="1:26" ht="30" customHeight="1">
      <c r="A28" s="404">
        <v>2</v>
      </c>
      <c r="B28" s="405" t="s">
        <v>8</v>
      </c>
      <c r="C28" s="406">
        <v>136</v>
      </c>
      <c r="D28" s="443" t="s">
        <v>454</v>
      </c>
      <c r="E28" s="440" t="s">
        <v>654</v>
      </c>
      <c r="F28" s="886">
        <v>0</v>
      </c>
      <c r="G28" s="886"/>
      <c r="H28" s="886"/>
      <c r="I28" s="874">
        <v>8126.56</v>
      </c>
      <c r="J28" s="875"/>
      <c r="K28" s="875">
        <v>8000</v>
      </c>
      <c r="L28" s="875"/>
      <c r="M28" s="875"/>
      <c r="N28" s="874">
        <v>8000</v>
      </c>
      <c r="O28" s="875"/>
      <c r="P28" s="875"/>
      <c r="Q28" s="874">
        <v>8000</v>
      </c>
      <c r="R28" s="411"/>
      <c r="S28" s="411"/>
      <c r="T28" s="1291">
        <f t="shared" si="8"/>
        <v>8000</v>
      </c>
      <c r="U28" s="411"/>
      <c r="V28" s="412"/>
      <c r="X28" s="414"/>
      <c r="Y28" s="414"/>
      <c r="Z28" s="414"/>
    </row>
    <row r="29" spans="1:26" ht="30" customHeight="1">
      <c r="A29" s="404">
        <v>2</v>
      </c>
      <c r="B29" s="405" t="s">
        <v>8</v>
      </c>
      <c r="C29" s="406">
        <v>137</v>
      </c>
      <c r="D29" s="443" t="s">
        <v>454</v>
      </c>
      <c r="E29" s="440" t="s">
        <v>1020</v>
      </c>
      <c r="F29" s="886">
        <v>0</v>
      </c>
      <c r="G29" s="886"/>
      <c r="H29" s="886"/>
      <c r="I29" s="874">
        <v>6245.47</v>
      </c>
      <c r="J29" s="875"/>
      <c r="K29" s="875"/>
      <c r="L29" s="875"/>
      <c r="M29" s="875"/>
      <c r="N29" s="874"/>
      <c r="O29" s="875"/>
      <c r="P29" s="875"/>
      <c r="Q29" s="874"/>
      <c r="R29" s="411"/>
      <c r="S29" s="411"/>
      <c r="T29" s="1291">
        <f>F29+K29</f>
        <v>0</v>
      </c>
      <c r="U29" s="411"/>
      <c r="V29" s="412"/>
      <c r="X29" s="414"/>
      <c r="Y29" s="414"/>
      <c r="Z29" s="414"/>
    </row>
    <row r="30" spans="1:26" ht="30" customHeight="1">
      <c r="A30" s="404">
        <v>2</v>
      </c>
      <c r="B30" s="405" t="s">
        <v>8</v>
      </c>
      <c r="C30" s="406">
        <v>138</v>
      </c>
      <c r="D30" s="443" t="s">
        <v>454</v>
      </c>
      <c r="E30" s="440" t="s">
        <v>1021</v>
      </c>
      <c r="F30" s="886">
        <v>0</v>
      </c>
      <c r="G30" s="886"/>
      <c r="H30" s="886"/>
      <c r="I30" s="874">
        <v>10034.43</v>
      </c>
      <c r="J30" s="875"/>
      <c r="K30" s="875"/>
      <c r="L30" s="875"/>
      <c r="M30" s="875"/>
      <c r="N30" s="874"/>
      <c r="O30" s="875"/>
      <c r="P30" s="875"/>
      <c r="Q30" s="874"/>
      <c r="R30" s="411"/>
      <c r="S30" s="411"/>
      <c r="T30" s="1291">
        <f>F30+K30</f>
        <v>0</v>
      </c>
      <c r="U30" s="411"/>
      <c r="V30" s="412"/>
      <c r="X30" s="414"/>
      <c r="Y30" s="414"/>
      <c r="Z30" s="414"/>
    </row>
    <row r="31" spans="1:26" ht="30" customHeight="1">
      <c r="A31" s="415">
        <v>2</v>
      </c>
      <c r="B31" s="416" t="s">
        <v>8</v>
      </c>
      <c r="C31" s="417">
        <v>251</v>
      </c>
      <c r="D31" s="443" t="s">
        <v>454</v>
      </c>
      <c r="E31" s="328" t="s">
        <v>246</v>
      </c>
      <c r="F31" s="769">
        <v>18094.65</v>
      </c>
      <c r="G31" s="769"/>
      <c r="H31" s="769"/>
      <c r="I31" s="881">
        <v>20000</v>
      </c>
      <c r="J31" s="876"/>
      <c r="K31" s="876">
        <v>20000</v>
      </c>
      <c r="L31" s="876"/>
      <c r="M31" s="876"/>
      <c r="N31" s="881">
        <v>20000</v>
      </c>
      <c r="O31" s="876"/>
      <c r="P31" s="876"/>
      <c r="Q31" s="881">
        <v>20000</v>
      </c>
      <c r="R31" s="445"/>
      <c r="S31" s="445"/>
      <c r="T31" s="813">
        <f t="shared" si="8"/>
        <v>38094.65</v>
      </c>
      <c r="U31" s="421"/>
      <c r="V31" s="422"/>
      <c r="X31" s="414">
        <f t="shared" si="1"/>
      </c>
      <c r="Y31" s="414">
        <f t="shared" si="2"/>
      </c>
      <c r="Z31" s="414">
        <f t="shared" si="3"/>
      </c>
    </row>
    <row r="32" spans="1:26" ht="30" customHeight="1">
      <c r="A32" s="415">
        <v>2</v>
      </c>
      <c r="B32" s="416" t="s">
        <v>8</v>
      </c>
      <c r="C32" s="417">
        <v>330</v>
      </c>
      <c r="D32" s="443" t="s">
        <v>455</v>
      </c>
      <c r="E32" s="328" t="s">
        <v>684</v>
      </c>
      <c r="F32" s="769">
        <v>15000</v>
      </c>
      <c r="G32" s="769"/>
      <c r="H32" s="769"/>
      <c r="I32" s="881">
        <v>5000</v>
      </c>
      <c r="J32" s="876"/>
      <c r="K32" s="876">
        <v>5000</v>
      </c>
      <c r="L32" s="876"/>
      <c r="M32" s="876"/>
      <c r="N32" s="881">
        <v>5000</v>
      </c>
      <c r="O32" s="876"/>
      <c r="P32" s="876"/>
      <c r="Q32" s="881">
        <v>5000</v>
      </c>
      <c r="R32" s="445"/>
      <c r="S32" s="445"/>
      <c r="T32" s="1291">
        <f t="shared" si="8"/>
        <v>20000</v>
      </c>
      <c r="U32" s="421"/>
      <c r="V32" s="422"/>
      <c r="X32" s="414">
        <f t="shared" si="1"/>
      </c>
      <c r="Y32" s="414"/>
      <c r="Z32" s="414"/>
    </row>
    <row r="33" spans="1:26" ht="30" customHeight="1">
      <c r="A33" s="415">
        <v>2</v>
      </c>
      <c r="B33" s="416" t="s">
        <v>8</v>
      </c>
      <c r="C33" s="417">
        <v>340</v>
      </c>
      <c r="D33" s="443" t="s">
        <v>455</v>
      </c>
      <c r="E33" s="423" t="s">
        <v>471</v>
      </c>
      <c r="F33" s="769">
        <v>0</v>
      </c>
      <c r="G33" s="769"/>
      <c r="H33" s="769"/>
      <c r="I33" s="770">
        <v>1000</v>
      </c>
      <c r="J33" s="769"/>
      <c r="K33" s="769">
        <v>1000</v>
      </c>
      <c r="L33" s="769"/>
      <c r="M33" s="769"/>
      <c r="N33" s="770">
        <v>1000</v>
      </c>
      <c r="O33" s="769"/>
      <c r="P33" s="769"/>
      <c r="Q33" s="770">
        <v>1000</v>
      </c>
      <c r="R33" s="421"/>
      <c r="S33" s="421"/>
      <c r="T33" s="813">
        <f t="shared" si="8"/>
        <v>1000</v>
      </c>
      <c r="U33" s="421"/>
      <c r="V33" s="422"/>
      <c r="X33" s="414">
        <f t="shared" si="1"/>
      </c>
      <c r="Y33" s="414">
        <f t="shared" si="2"/>
      </c>
      <c r="Z33" s="414">
        <f t="shared" si="3"/>
      </c>
    </row>
    <row r="34" spans="1:26" ht="30" customHeight="1">
      <c r="A34" s="415">
        <v>2</v>
      </c>
      <c r="B34" s="416" t="s">
        <v>8</v>
      </c>
      <c r="C34" s="417">
        <v>341</v>
      </c>
      <c r="D34" s="443" t="s">
        <v>455</v>
      </c>
      <c r="E34" s="423" t="s">
        <v>428</v>
      </c>
      <c r="F34" s="769">
        <v>0</v>
      </c>
      <c r="G34" s="769"/>
      <c r="H34" s="769"/>
      <c r="I34" s="770">
        <v>8000</v>
      </c>
      <c r="J34" s="769"/>
      <c r="K34" s="769">
        <v>8000</v>
      </c>
      <c r="L34" s="769"/>
      <c r="M34" s="769"/>
      <c r="N34" s="770">
        <v>8000</v>
      </c>
      <c r="O34" s="769"/>
      <c r="P34" s="769"/>
      <c r="Q34" s="770">
        <v>8000</v>
      </c>
      <c r="R34" s="421"/>
      <c r="S34" s="421"/>
      <c r="T34" s="813">
        <f t="shared" si="8"/>
        <v>8000</v>
      </c>
      <c r="U34" s="421"/>
      <c r="V34" s="422"/>
      <c r="X34" s="414">
        <f t="shared" si="1"/>
      </c>
      <c r="Y34" s="414">
        <f t="shared" si="2"/>
      </c>
      <c r="Z34" s="414">
        <f t="shared" si="3"/>
      </c>
    </row>
    <row r="35" spans="1:26" ht="30" customHeight="1">
      <c r="A35" s="415">
        <v>2</v>
      </c>
      <c r="B35" s="416" t="s">
        <v>8</v>
      </c>
      <c r="C35" s="417">
        <v>342</v>
      </c>
      <c r="D35" s="443" t="s">
        <v>455</v>
      </c>
      <c r="E35" s="423" t="s">
        <v>427</v>
      </c>
      <c r="F35" s="769">
        <v>0</v>
      </c>
      <c r="G35" s="769"/>
      <c r="H35" s="769"/>
      <c r="I35" s="770">
        <v>5000</v>
      </c>
      <c r="J35" s="769"/>
      <c r="K35" s="769">
        <v>5000</v>
      </c>
      <c r="L35" s="769"/>
      <c r="M35" s="769"/>
      <c r="N35" s="770">
        <v>5000</v>
      </c>
      <c r="O35" s="769"/>
      <c r="P35" s="769"/>
      <c r="Q35" s="770">
        <v>5000</v>
      </c>
      <c r="R35" s="421"/>
      <c r="S35" s="421"/>
      <c r="T35" s="813">
        <f t="shared" si="8"/>
        <v>5000</v>
      </c>
      <c r="U35" s="421"/>
      <c r="V35" s="422"/>
      <c r="X35" s="414">
        <f t="shared" si="1"/>
      </c>
      <c r="Y35" s="414">
        <f t="shared" si="2"/>
      </c>
      <c r="Z35" s="414">
        <f t="shared" si="3"/>
      </c>
    </row>
    <row r="36" spans="1:26" ht="30" customHeight="1">
      <c r="A36" s="415">
        <v>2</v>
      </c>
      <c r="B36" s="416" t="s">
        <v>8</v>
      </c>
      <c r="C36" s="417">
        <v>344</v>
      </c>
      <c r="D36" s="443" t="s">
        <v>455</v>
      </c>
      <c r="E36" s="328" t="s">
        <v>643</v>
      </c>
      <c r="F36" s="769">
        <v>0</v>
      </c>
      <c r="G36" s="769"/>
      <c r="H36" s="769"/>
      <c r="I36" s="770">
        <v>25000</v>
      </c>
      <c r="J36" s="769"/>
      <c r="K36" s="769">
        <v>25000</v>
      </c>
      <c r="L36" s="769"/>
      <c r="M36" s="769"/>
      <c r="N36" s="770">
        <v>25000</v>
      </c>
      <c r="O36" s="769"/>
      <c r="P36" s="769"/>
      <c r="Q36" s="770">
        <v>25000</v>
      </c>
      <c r="R36" s="771"/>
      <c r="S36" s="771"/>
      <c r="T36" s="813">
        <f t="shared" si="8"/>
        <v>25000</v>
      </c>
      <c r="U36" s="421"/>
      <c r="V36" s="422"/>
      <c r="W36" s="421"/>
      <c r="X36" s="414">
        <f>IF(T36&gt;(F36+K36),"ERRORE","")</f>
      </c>
      <c r="Y36" s="414">
        <f>IF(U36&gt;(F36+N36),"ERRORE","")</f>
      </c>
      <c r="Z36" s="414">
        <f>IF(V36&gt;(F36+Q36),"ERRORE","")</f>
      </c>
    </row>
    <row r="37" spans="1:26" ht="30" customHeight="1">
      <c r="A37" s="415">
        <v>2</v>
      </c>
      <c r="B37" s="416" t="s">
        <v>8</v>
      </c>
      <c r="C37" s="417">
        <v>345</v>
      </c>
      <c r="D37" s="443" t="s">
        <v>455</v>
      </c>
      <c r="E37" s="328" t="s">
        <v>644</v>
      </c>
      <c r="F37" s="769">
        <v>6000</v>
      </c>
      <c r="G37" s="769"/>
      <c r="H37" s="769"/>
      <c r="I37" s="770">
        <v>60000</v>
      </c>
      <c r="J37" s="769"/>
      <c r="K37" s="769">
        <v>60000</v>
      </c>
      <c r="L37" s="769"/>
      <c r="M37" s="769"/>
      <c r="N37" s="770">
        <v>60000</v>
      </c>
      <c r="O37" s="769"/>
      <c r="P37" s="769"/>
      <c r="Q37" s="770">
        <v>60000</v>
      </c>
      <c r="R37" s="771"/>
      <c r="S37" s="771"/>
      <c r="T37" s="813">
        <f t="shared" si="8"/>
        <v>66000</v>
      </c>
      <c r="U37" s="421"/>
      <c r="V37" s="422"/>
      <c r="X37" s="414">
        <f t="shared" si="1"/>
      </c>
      <c r="Y37" s="414">
        <f t="shared" si="2"/>
      </c>
      <c r="Z37" s="414">
        <f t="shared" si="3"/>
      </c>
    </row>
    <row r="38" spans="1:26" ht="30" customHeight="1">
      <c r="A38" s="415">
        <v>2</v>
      </c>
      <c r="B38" s="416" t="s">
        <v>8</v>
      </c>
      <c r="C38" s="417">
        <v>347</v>
      </c>
      <c r="D38" s="429" t="s">
        <v>455</v>
      </c>
      <c r="E38" s="423" t="s">
        <v>170</v>
      </c>
      <c r="F38" s="769">
        <v>11314.67</v>
      </c>
      <c r="G38" s="769"/>
      <c r="H38" s="769"/>
      <c r="I38" s="769">
        <v>0</v>
      </c>
      <c r="J38" s="769"/>
      <c r="K38" s="769">
        <v>0</v>
      </c>
      <c r="L38" s="769"/>
      <c r="M38" s="769"/>
      <c r="N38" s="770">
        <v>0</v>
      </c>
      <c r="O38" s="769"/>
      <c r="P38" s="769"/>
      <c r="Q38" s="770">
        <v>0</v>
      </c>
      <c r="R38" s="771"/>
      <c r="S38" s="771"/>
      <c r="T38" s="813">
        <f t="shared" si="8"/>
        <v>11314.67</v>
      </c>
      <c r="U38" s="421"/>
      <c r="V38" s="422"/>
      <c r="X38" s="414">
        <f t="shared" si="1"/>
      </c>
      <c r="Y38" s="414">
        <f t="shared" si="2"/>
      </c>
      <c r="Z38" s="414">
        <f t="shared" si="3"/>
      </c>
    </row>
    <row r="39" spans="1:26" ht="30" customHeight="1">
      <c r="A39" s="415">
        <v>2</v>
      </c>
      <c r="B39" s="416" t="s">
        <v>8</v>
      </c>
      <c r="C39" s="417">
        <v>348</v>
      </c>
      <c r="D39" s="443" t="s">
        <v>455</v>
      </c>
      <c r="E39" s="328" t="s">
        <v>645</v>
      </c>
      <c r="F39" s="769">
        <v>0</v>
      </c>
      <c r="G39" s="769"/>
      <c r="H39" s="769"/>
      <c r="I39" s="770">
        <v>13000</v>
      </c>
      <c r="J39" s="769"/>
      <c r="K39" s="769">
        <v>13000</v>
      </c>
      <c r="L39" s="769"/>
      <c r="M39" s="769"/>
      <c r="N39" s="770">
        <v>13000</v>
      </c>
      <c r="O39" s="769"/>
      <c r="P39" s="769"/>
      <c r="Q39" s="770">
        <v>13000</v>
      </c>
      <c r="R39" s="771"/>
      <c r="S39" s="771"/>
      <c r="T39" s="813">
        <f t="shared" si="8"/>
        <v>13000</v>
      </c>
      <c r="U39" s="421"/>
      <c r="V39" s="422"/>
      <c r="X39" s="414">
        <f t="shared" si="1"/>
      </c>
      <c r="Y39" s="414">
        <f t="shared" si="2"/>
      </c>
      <c r="Z39" s="414">
        <f t="shared" si="3"/>
      </c>
    </row>
    <row r="40" spans="1:26" ht="30" customHeight="1">
      <c r="A40" s="415">
        <v>2</v>
      </c>
      <c r="B40" s="416" t="s">
        <v>8</v>
      </c>
      <c r="C40" s="417">
        <v>351</v>
      </c>
      <c r="D40" s="443" t="s">
        <v>455</v>
      </c>
      <c r="E40" s="328" t="s">
        <v>472</v>
      </c>
      <c r="F40" s="769">
        <v>33026.88</v>
      </c>
      <c r="G40" s="769"/>
      <c r="H40" s="769"/>
      <c r="I40" s="770">
        <v>20000</v>
      </c>
      <c r="J40" s="769"/>
      <c r="K40" s="769">
        <v>20000</v>
      </c>
      <c r="L40" s="769"/>
      <c r="M40" s="769"/>
      <c r="N40" s="770">
        <v>20000</v>
      </c>
      <c r="O40" s="769"/>
      <c r="P40" s="769"/>
      <c r="Q40" s="770">
        <v>20000</v>
      </c>
      <c r="R40" s="771"/>
      <c r="S40" s="771"/>
      <c r="T40" s="813">
        <f t="shared" si="8"/>
        <v>53026.88</v>
      </c>
      <c r="U40" s="421"/>
      <c r="V40" s="422"/>
      <c r="W40" s="474"/>
      <c r="X40" s="414">
        <f t="shared" si="1"/>
      </c>
      <c r="Y40" s="414">
        <f t="shared" si="2"/>
      </c>
      <c r="Z40" s="414">
        <f t="shared" si="3"/>
      </c>
    </row>
    <row r="41" spans="1:26" ht="30" customHeight="1">
      <c r="A41" s="415">
        <v>2</v>
      </c>
      <c r="B41" s="416" t="s">
        <v>8</v>
      </c>
      <c r="C41" s="417">
        <v>352</v>
      </c>
      <c r="D41" s="443" t="s">
        <v>455</v>
      </c>
      <c r="E41" s="328" t="s">
        <v>686</v>
      </c>
      <c r="F41" s="769">
        <v>21582.24</v>
      </c>
      <c r="G41" s="769"/>
      <c r="H41" s="769"/>
      <c r="I41" s="770">
        <v>84000</v>
      </c>
      <c r="J41" s="769"/>
      <c r="K41" s="769">
        <v>84000</v>
      </c>
      <c r="L41" s="769"/>
      <c r="M41" s="769"/>
      <c r="N41" s="770">
        <v>84000</v>
      </c>
      <c r="O41" s="769"/>
      <c r="P41" s="769"/>
      <c r="Q41" s="770">
        <v>84000</v>
      </c>
      <c r="R41" s="771"/>
      <c r="S41" s="771"/>
      <c r="T41" s="813">
        <f t="shared" si="8"/>
        <v>105582.24</v>
      </c>
      <c r="U41" s="421"/>
      <c r="V41" s="422"/>
      <c r="W41" s="474"/>
      <c r="X41" s="414">
        <f t="shared" si="1"/>
      </c>
      <c r="Y41" s="414">
        <f t="shared" si="2"/>
      </c>
      <c r="Z41" s="414">
        <f t="shared" si="3"/>
      </c>
    </row>
    <row r="42" spans="1:26" ht="30" customHeight="1">
      <c r="A42" s="415">
        <v>2</v>
      </c>
      <c r="B42" s="416" t="s">
        <v>8</v>
      </c>
      <c r="C42" s="417">
        <v>353</v>
      </c>
      <c r="D42" s="443" t="s">
        <v>455</v>
      </c>
      <c r="E42" s="328" t="s">
        <v>687</v>
      </c>
      <c r="F42" s="769">
        <v>22079.4</v>
      </c>
      <c r="G42" s="769"/>
      <c r="H42" s="769"/>
      <c r="I42" s="770">
        <v>29000</v>
      </c>
      <c r="J42" s="769"/>
      <c r="K42" s="769">
        <v>29000</v>
      </c>
      <c r="L42" s="769"/>
      <c r="M42" s="769"/>
      <c r="N42" s="770">
        <v>29000</v>
      </c>
      <c r="O42" s="769"/>
      <c r="P42" s="769"/>
      <c r="Q42" s="770">
        <v>29000</v>
      </c>
      <c r="R42" s="771"/>
      <c r="S42" s="771"/>
      <c r="T42" s="813">
        <f t="shared" si="8"/>
        <v>51079.4</v>
      </c>
      <c r="U42" s="421"/>
      <c r="V42" s="422"/>
      <c r="W42" s="474"/>
      <c r="X42" s="414">
        <f t="shared" si="1"/>
      </c>
      <c r="Y42" s="414">
        <f t="shared" si="2"/>
      </c>
      <c r="Z42" s="414">
        <f t="shared" si="3"/>
      </c>
    </row>
    <row r="43" spans="1:26" ht="30" customHeight="1">
      <c r="A43" s="415">
        <v>2</v>
      </c>
      <c r="B43" s="416" t="s">
        <v>8</v>
      </c>
      <c r="C43" s="417">
        <v>354</v>
      </c>
      <c r="D43" s="443" t="s">
        <v>455</v>
      </c>
      <c r="E43" s="1082" t="s">
        <v>688</v>
      </c>
      <c r="F43" s="876">
        <v>30983</v>
      </c>
      <c r="G43" s="876"/>
      <c r="H43" s="876"/>
      <c r="I43" s="881">
        <v>24220</v>
      </c>
      <c r="J43" s="876"/>
      <c r="K43" s="876">
        <v>24220</v>
      </c>
      <c r="L43" s="876"/>
      <c r="M43" s="876"/>
      <c r="N43" s="881">
        <v>24220</v>
      </c>
      <c r="O43" s="876"/>
      <c r="P43" s="876"/>
      <c r="Q43" s="881">
        <v>24220</v>
      </c>
      <c r="R43" s="771"/>
      <c r="S43" s="771"/>
      <c r="T43" s="1291">
        <f t="shared" si="8"/>
        <v>55203</v>
      </c>
      <c r="U43" s="421"/>
      <c r="V43" s="422"/>
      <c r="W43" s="474"/>
      <c r="X43" s="414">
        <f t="shared" si="1"/>
      </c>
      <c r="Y43" s="414">
        <f t="shared" si="2"/>
      </c>
      <c r="Z43" s="414">
        <f t="shared" si="3"/>
      </c>
    </row>
    <row r="44" spans="1:26" ht="30" customHeight="1">
      <c r="A44" s="415">
        <v>2</v>
      </c>
      <c r="B44" s="416" t="s">
        <v>1023</v>
      </c>
      <c r="C44" s="417">
        <v>355</v>
      </c>
      <c r="D44" s="443" t="s">
        <v>1022</v>
      </c>
      <c r="E44" s="1082" t="s">
        <v>975</v>
      </c>
      <c r="F44" s="876">
        <v>0</v>
      </c>
      <c r="G44" s="876"/>
      <c r="H44" s="876"/>
      <c r="I44" s="881">
        <v>5000</v>
      </c>
      <c r="J44" s="876"/>
      <c r="K44" s="876">
        <v>0</v>
      </c>
      <c r="L44" s="876"/>
      <c r="M44" s="876"/>
      <c r="N44" s="881">
        <v>0</v>
      </c>
      <c r="O44" s="876"/>
      <c r="P44" s="876"/>
      <c r="Q44" s="881">
        <v>0</v>
      </c>
      <c r="R44" s="771"/>
      <c r="S44" s="771"/>
      <c r="T44" s="813">
        <f t="shared" si="8"/>
        <v>0</v>
      </c>
      <c r="U44" s="421"/>
      <c r="V44" s="422"/>
      <c r="W44" s="474"/>
      <c r="X44" s="414">
        <f t="shared" si="1"/>
      </c>
      <c r="Y44" s="414">
        <f t="shared" si="2"/>
      </c>
      <c r="Z44" s="414">
        <f t="shared" si="3"/>
      </c>
    </row>
    <row r="45" spans="1:26" ht="30" customHeight="1" thickBot="1">
      <c r="A45" s="415">
        <v>2</v>
      </c>
      <c r="B45" s="416" t="s">
        <v>8</v>
      </c>
      <c r="C45" s="429">
        <v>480</v>
      </c>
      <c r="D45" s="443" t="s">
        <v>455</v>
      </c>
      <c r="E45" s="328" t="s">
        <v>655</v>
      </c>
      <c r="F45" s="769">
        <v>3000</v>
      </c>
      <c r="G45" s="769"/>
      <c r="H45" s="769"/>
      <c r="I45" s="770">
        <v>3000</v>
      </c>
      <c r="J45" s="769"/>
      <c r="K45" s="769">
        <v>3000</v>
      </c>
      <c r="L45" s="769"/>
      <c r="M45" s="769"/>
      <c r="N45" s="770">
        <v>3000</v>
      </c>
      <c r="O45" s="769"/>
      <c r="P45" s="769"/>
      <c r="Q45" s="770">
        <v>3000</v>
      </c>
      <c r="R45" s="771"/>
      <c r="S45" s="771"/>
      <c r="T45" s="813">
        <f t="shared" si="8"/>
        <v>6000</v>
      </c>
      <c r="U45" s="421"/>
      <c r="V45" s="422"/>
      <c r="X45" s="414">
        <f t="shared" si="1"/>
      </c>
      <c r="Y45" s="414">
        <f t="shared" si="2"/>
      </c>
      <c r="Z45" s="414">
        <f t="shared" si="3"/>
      </c>
    </row>
    <row r="46" spans="1:26" s="464" customFormat="1" ht="30" customHeight="1" thickBot="1">
      <c r="A46" s="1307" t="s">
        <v>614</v>
      </c>
      <c r="B46" s="1308"/>
      <c r="C46" s="1308"/>
      <c r="D46" s="1308"/>
      <c r="E46" s="1309"/>
      <c r="F46" s="425">
        <f aca="true" t="shared" si="9" ref="F46:V46">SUM(F20:F45)</f>
        <v>193679.3</v>
      </c>
      <c r="G46" s="425">
        <f t="shared" si="9"/>
        <v>0</v>
      </c>
      <c r="H46" s="425">
        <f t="shared" si="9"/>
        <v>0</v>
      </c>
      <c r="I46" s="877">
        <f t="shared" si="9"/>
        <v>544886.79</v>
      </c>
      <c r="J46" s="877">
        <f t="shared" si="9"/>
        <v>0</v>
      </c>
      <c r="K46" s="877">
        <f t="shared" si="9"/>
        <v>377220</v>
      </c>
      <c r="L46" s="877">
        <f t="shared" si="9"/>
        <v>0</v>
      </c>
      <c r="M46" s="877">
        <f t="shared" si="9"/>
        <v>0</v>
      </c>
      <c r="N46" s="877">
        <f t="shared" si="9"/>
        <v>353220</v>
      </c>
      <c r="O46" s="425">
        <f t="shared" si="9"/>
        <v>0</v>
      </c>
      <c r="P46" s="425">
        <f t="shared" si="9"/>
        <v>0</v>
      </c>
      <c r="Q46" s="425">
        <f t="shared" si="9"/>
        <v>353220</v>
      </c>
      <c r="R46" s="425">
        <f t="shared" si="9"/>
        <v>0</v>
      </c>
      <c r="S46" s="425">
        <f t="shared" si="9"/>
        <v>0</v>
      </c>
      <c r="T46" s="814">
        <f t="shared" si="9"/>
        <v>570899.3</v>
      </c>
      <c r="U46" s="462">
        <f t="shared" si="9"/>
        <v>0</v>
      </c>
      <c r="V46" s="426">
        <f t="shared" si="9"/>
        <v>0</v>
      </c>
      <c r="X46" s="414">
        <f t="shared" si="1"/>
      </c>
      <c r="Y46" s="414">
        <f t="shared" si="2"/>
      </c>
      <c r="Z46" s="414">
        <f t="shared" si="3"/>
      </c>
    </row>
    <row r="47" spans="1:26" s="433" customFormat="1" ht="30" customHeight="1" thickBot="1">
      <c r="A47" s="1313" t="s">
        <v>11</v>
      </c>
      <c r="B47" s="1314"/>
      <c r="C47" s="1314"/>
      <c r="D47" s="1314"/>
      <c r="E47" s="1314"/>
      <c r="F47" s="1064">
        <f aca="true" t="shared" si="10" ref="F47:V47">F46</f>
        <v>193679.3</v>
      </c>
      <c r="G47" s="1064">
        <f t="shared" si="10"/>
        <v>0</v>
      </c>
      <c r="H47" s="1064">
        <f t="shared" si="10"/>
        <v>0</v>
      </c>
      <c r="I47" s="1064">
        <f t="shared" si="10"/>
        <v>544886.79</v>
      </c>
      <c r="J47" s="1064">
        <f t="shared" si="10"/>
        <v>0</v>
      </c>
      <c r="K47" s="1064">
        <f t="shared" si="10"/>
        <v>377220</v>
      </c>
      <c r="L47" s="1064">
        <f t="shared" si="10"/>
        <v>0</v>
      </c>
      <c r="M47" s="1064">
        <f t="shared" si="10"/>
        <v>0</v>
      </c>
      <c r="N47" s="1064">
        <f t="shared" si="10"/>
        <v>353220</v>
      </c>
      <c r="O47" s="1064">
        <f t="shared" si="10"/>
        <v>0</v>
      </c>
      <c r="P47" s="1064">
        <f t="shared" si="10"/>
        <v>0</v>
      </c>
      <c r="Q47" s="1064">
        <f t="shared" si="10"/>
        <v>353220</v>
      </c>
      <c r="R47" s="1064">
        <f>R46</f>
        <v>0</v>
      </c>
      <c r="S47" s="1064">
        <f>S46</f>
        <v>0</v>
      </c>
      <c r="T47" s="1066">
        <f t="shared" si="10"/>
        <v>570899.3</v>
      </c>
      <c r="U47" s="431">
        <f t="shared" si="10"/>
        <v>0</v>
      </c>
      <c r="V47" s="430">
        <f t="shared" si="10"/>
        <v>0</v>
      </c>
      <c r="X47" s="414">
        <f t="shared" si="1"/>
      </c>
      <c r="Y47" s="414">
        <f t="shared" si="2"/>
      </c>
      <c r="Z47" s="414">
        <f t="shared" si="3"/>
      </c>
    </row>
    <row r="48" spans="1:26" s="433" customFormat="1" ht="30" customHeight="1" thickBot="1">
      <c r="A48" s="1310" t="s">
        <v>15</v>
      </c>
      <c r="B48" s="1311"/>
      <c r="C48" s="1311"/>
      <c r="D48" s="1311"/>
      <c r="E48" s="1311"/>
      <c r="F48" s="1311"/>
      <c r="G48" s="1311"/>
      <c r="H48" s="1311"/>
      <c r="I48" s="1311"/>
      <c r="J48" s="1311"/>
      <c r="K48" s="1311"/>
      <c r="L48" s="1311"/>
      <c r="M48" s="1311"/>
      <c r="N48" s="1311"/>
      <c r="O48" s="1311"/>
      <c r="P48" s="1311"/>
      <c r="Q48" s="1311"/>
      <c r="R48" s="1311"/>
      <c r="S48" s="1311"/>
      <c r="T48" s="1311"/>
      <c r="U48" s="1311"/>
      <c r="V48" s="1312"/>
      <c r="X48" s="414"/>
      <c r="Y48" s="414">
        <f t="shared" si="2"/>
      </c>
      <c r="Z48" s="414">
        <f t="shared" si="3"/>
      </c>
    </row>
    <row r="49" spans="1:26" s="438" customFormat="1" ht="68.25" customHeight="1" thickBot="1">
      <c r="A49" s="446" t="str">
        <f>A5</f>
        <v>Titolo</v>
      </c>
      <c r="B49" s="447" t="str">
        <f>B5</f>
        <v>Tipologia</v>
      </c>
      <c r="C49" s="447" t="str">
        <f>C5</f>
        <v>Capitolo</v>
      </c>
      <c r="D49" s="448" t="s">
        <v>443</v>
      </c>
      <c r="E49" s="447" t="str">
        <f aca="true" t="shared" si="11" ref="E49:V49">E5</f>
        <v>DESCRIZIONE</v>
      </c>
      <c r="F49" s="447" t="str">
        <f t="shared" si="11"/>
        <v>RESIDUI PRESUNTI AL 31.12.2020              AL 12.01.2021</v>
      </c>
      <c r="G49" s="447" t="str">
        <f t="shared" si="11"/>
        <v>PREVISIONE INIZIALE 2018</v>
      </c>
      <c r="H49" s="447" t="str">
        <f t="shared" si="11"/>
        <v>ACCERTAMENTI 2018 ALLA DATA DEL </v>
      </c>
      <c r="I49" s="882" t="str">
        <f t="shared" si="11"/>
        <v>PREVISIONE 2020                            al 12.01.2021</v>
      </c>
      <c r="J49" s="882" t="str">
        <f t="shared" si="11"/>
        <v>PREVISIONE 2018                                                (solo FPV)</v>
      </c>
      <c r="K49" s="882" t="str">
        <f t="shared" si="11"/>
        <v>PREVISIONE 2021</v>
      </c>
      <c r="L49" s="882" t="str">
        <f t="shared" si="11"/>
        <v>PREVISIONE 2019                               (solo FPV)</v>
      </c>
      <c r="M49" s="882" t="str">
        <f t="shared" si="11"/>
        <v>F.P.V. rinveniente da debito</v>
      </c>
      <c r="N49" s="883" t="str">
        <f t="shared" si="11"/>
        <v>PREVISIONE 2022</v>
      </c>
      <c r="O49" s="450" t="str">
        <f t="shared" si="11"/>
        <v>PREVISIONE 2020                      (solo FPV)</v>
      </c>
      <c r="P49" s="450" t="str">
        <f t="shared" si="11"/>
        <v>F.P.V. rinveniente da debito</v>
      </c>
      <c r="Q49" s="451" t="str">
        <f t="shared" si="11"/>
        <v>PREVISIONE 2023</v>
      </c>
      <c r="R49" s="452" t="str">
        <f t="shared" si="11"/>
        <v>PREVISIONE 2021                     (solo FPV)</v>
      </c>
      <c r="S49" s="435" t="str">
        <f t="shared" si="11"/>
        <v>F.P.V. rinveniente da debito</v>
      </c>
      <c r="T49" s="831" t="str">
        <f t="shared" si="11"/>
        <v>PREVISIONE DI CASSA 2021</v>
      </c>
      <c r="U49" s="436" t="str">
        <f t="shared" si="11"/>
        <v>PEVISIONE DI CASSA 2021</v>
      </c>
      <c r="V49" s="437" t="str">
        <f t="shared" si="11"/>
        <v>PEVISIONE DI CASSA 2022</v>
      </c>
      <c r="X49" s="414"/>
      <c r="Y49" s="414"/>
      <c r="Z49" s="414"/>
    </row>
    <row r="50" spans="1:26" ht="30" customHeight="1">
      <c r="A50" s="404">
        <v>3</v>
      </c>
      <c r="B50" s="405" t="s">
        <v>187</v>
      </c>
      <c r="C50" s="406">
        <v>471</v>
      </c>
      <c r="D50" s="439" t="s">
        <v>456</v>
      </c>
      <c r="E50" s="408" t="s">
        <v>160</v>
      </c>
      <c r="F50" s="875">
        <v>436.3</v>
      </c>
      <c r="G50" s="875"/>
      <c r="H50" s="875"/>
      <c r="I50" s="874">
        <v>500</v>
      </c>
      <c r="J50" s="875"/>
      <c r="K50" s="875">
        <v>200</v>
      </c>
      <c r="L50" s="875"/>
      <c r="M50" s="875"/>
      <c r="N50" s="874">
        <v>200</v>
      </c>
      <c r="O50" s="875"/>
      <c r="P50" s="875"/>
      <c r="Q50" s="874">
        <v>200</v>
      </c>
      <c r="R50" s="1301"/>
      <c r="S50" s="1301"/>
      <c r="T50" s="813">
        <f>F50+K50</f>
        <v>636.3</v>
      </c>
      <c r="U50" s="411"/>
      <c r="V50" s="412"/>
      <c r="X50" s="414">
        <f t="shared" si="1"/>
      </c>
      <c r="Y50" s="414">
        <f t="shared" si="2"/>
      </c>
      <c r="Z50" s="414">
        <f t="shared" si="3"/>
      </c>
    </row>
    <row r="51" spans="1:26" ht="30" customHeight="1">
      <c r="A51" s="415">
        <v>3</v>
      </c>
      <c r="B51" s="416" t="s">
        <v>187</v>
      </c>
      <c r="C51" s="417">
        <v>472</v>
      </c>
      <c r="D51" s="443" t="s">
        <v>456</v>
      </c>
      <c r="E51" s="423" t="s">
        <v>161</v>
      </c>
      <c r="F51" s="769">
        <v>0</v>
      </c>
      <c r="G51" s="769"/>
      <c r="H51" s="769"/>
      <c r="I51" s="770">
        <v>1700</v>
      </c>
      <c r="J51" s="769"/>
      <c r="K51" s="769">
        <v>1700</v>
      </c>
      <c r="L51" s="769"/>
      <c r="M51" s="769"/>
      <c r="N51" s="770">
        <v>1700</v>
      </c>
      <c r="O51" s="769"/>
      <c r="P51" s="769"/>
      <c r="Q51" s="770">
        <v>1700</v>
      </c>
      <c r="R51" s="771"/>
      <c r="S51" s="771"/>
      <c r="T51" s="772">
        <f>F51+K51</f>
        <v>1700</v>
      </c>
      <c r="U51" s="421"/>
      <c r="V51" s="422"/>
      <c r="X51" s="414">
        <f t="shared" si="1"/>
      </c>
      <c r="Y51" s="414">
        <f t="shared" si="2"/>
      </c>
      <c r="Z51" s="414">
        <f t="shared" si="3"/>
      </c>
    </row>
    <row r="52" spans="1:26" ht="30" customHeight="1">
      <c r="A52" s="415">
        <v>3</v>
      </c>
      <c r="B52" s="416" t="s">
        <v>187</v>
      </c>
      <c r="C52" s="417">
        <v>473</v>
      </c>
      <c r="D52" s="443" t="s">
        <v>456</v>
      </c>
      <c r="E52" s="423" t="s">
        <v>151</v>
      </c>
      <c r="F52" s="769">
        <v>16594.04</v>
      </c>
      <c r="G52" s="769"/>
      <c r="H52" s="769"/>
      <c r="I52" s="770">
        <v>40893.44</v>
      </c>
      <c r="J52" s="769"/>
      <c r="K52" s="769">
        <v>30000</v>
      </c>
      <c r="L52" s="769"/>
      <c r="M52" s="769"/>
      <c r="N52" s="770">
        <v>30000</v>
      </c>
      <c r="O52" s="769"/>
      <c r="P52" s="769"/>
      <c r="Q52" s="770">
        <v>30000</v>
      </c>
      <c r="R52" s="771"/>
      <c r="S52" s="771"/>
      <c r="T52" s="772">
        <f aca="true" t="shared" si="12" ref="T52:T62">F52+K52</f>
        <v>46594.04</v>
      </c>
      <c r="U52" s="421"/>
      <c r="V52" s="422"/>
      <c r="X52" s="414">
        <f t="shared" si="1"/>
      </c>
      <c r="Y52" s="414">
        <f t="shared" si="2"/>
      </c>
      <c r="Z52" s="414">
        <f t="shared" si="3"/>
      </c>
    </row>
    <row r="53" spans="1:26" ht="30" customHeight="1">
      <c r="A53" s="415">
        <v>3</v>
      </c>
      <c r="B53" s="416" t="s">
        <v>187</v>
      </c>
      <c r="C53" s="417">
        <v>474</v>
      </c>
      <c r="D53" s="443" t="s">
        <v>456</v>
      </c>
      <c r="E53" s="423" t="s">
        <v>152</v>
      </c>
      <c r="F53" s="769">
        <v>5681.82</v>
      </c>
      <c r="G53" s="769"/>
      <c r="H53" s="769"/>
      <c r="I53" s="770">
        <v>12000</v>
      </c>
      <c r="J53" s="769"/>
      <c r="K53" s="769">
        <v>10000</v>
      </c>
      <c r="L53" s="769"/>
      <c r="M53" s="769"/>
      <c r="N53" s="770">
        <v>10000</v>
      </c>
      <c r="O53" s="769"/>
      <c r="P53" s="769"/>
      <c r="Q53" s="770">
        <v>10000</v>
      </c>
      <c r="R53" s="771"/>
      <c r="S53" s="771"/>
      <c r="T53" s="772">
        <f t="shared" si="12"/>
        <v>15681.82</v>
      </c>
      <c r="U53" s="421"/>
      <c r="V53" s="422"/>
      <c r="X53" s="414">
        <f t="shared" si="1"/>
      </c>
      <c r="Y53" s="414">
        <f t="shared" si="2"/>
      </c>
      <c r="Z53" s="414">
        <f t="shared" si="3"/>
      </c>
    </row>
    <row r="54" spans="1:26" ht="30" customHeight="1">
      <c r="A54" s="415">
        <v>3</v>
      </c>
      <c r="B54" s="416" t="s">
        <v>187</v>
      </c>
      <c r="C54" s="417">
        <v>476</v>
      </c>
      <c r="D54" s="443" t="s">
        <v>456</v>
      </c>
      <c r="E54" s="423" t="s">
        <v>126</v>
      </c>
      <c r="F54" s="769">
        <v>14700</v>
      </c>
      <c r="G54" s="769"/>
      <c r="H54" s="769"/>
      <c r="I54" s="770">
        <v>15000</v>
      </c>
      <c r="J54" s="769"/>
      <c r="K54" s="769">
        <v>15000</v>
      </c>
      <c r="L54" s="769"/>
      <c r="M54" s="769"/>
      <c r="N54" s="770">
        <v>15000</v>
      </c>
      <c r="O54" s="769"/>
      <c r="P54" s="769"/>
      <c r="Q54" s="770">
        <v>15000</v>
      </c>
      <c r="R54" s="771"/>
      <c r="S54" s="771"/>
      <c r="T54" s="772">
        <f t="shared" si="12"/>
        <v>29700</v>
      </c>
      <c r="U54" s="421"/>
      <c r="V54" s="422"/>
      <c r="X54" s="414">
        <f t="shared" si="1"/>
      </c>
      <c r="Y54" s="414">
        <f t="shared" si="2"/>
      </c>
      <c r="Z54" s="414">
        <f t="shared" si="3"/>
      </c>
    </row>
    <row r="55" spans="1:26" ht="30" customHeight="1">
      <c r="A55" s="415">
        <v>3</v>
      </c>
      <c r="B55" s="416" t="s">
        <v>187</v>
      </c>
      <c r="C55" s="417">
        <v>477</v>
      </c>
      <c r="D55" s="443" t="s">
        <v>456</v>
      </c>
      <c r="E55" s="423" t="s">
        <v>163</v>
      </c>
      <c r="F55" s="769">
        <v>0</v>
      </c>
      <c r="G55" s="769"/>
      <c r="H55" s="769"/>
      <c r="I55" s="770">
        <f>9000-4000</f>
        <v>5000</v>
      </c>
      <c r="J55" s="769"/>
      <c r="K55" s="769">
        <v>9000</v>
      </c>
      <c r="L55" s="769"/>
      <c r="M55" s="769"/>
      <c r="N55" s="770">
        <v>9000</v>
      </c>
      <c r="O55" s="769"/>
      <c r="P55" s="769"/>
      <c r="Q55" s="770">
        <v>9000</v>
      </c>
      <c r="R55" s="771"/>
      <c r="S55" s="771"/>
      <c r="T55" s="772">
        <f t="shared" si="12"/>
        <v>9000</v>
      </c>
      <c r="U55" s="421"/>
      <c r="V55" s="422"/>
      <c r="X55" s="414">
        <f>IF(T55&gt;(F55+K55),"ERRORE","")</f>
      </c>
      <c r="Y55" s="414">
        <f>IF(U55&gt;(F55+N55),"ERRORE","")</f>
      </c>
      <c r="Z55" s="414">
        <f>IF(V55&gt;(F55+Q55),"ERRORE","")</f>
      </c>
    </row>
    <row r="56" spans="1:26" ht="30" customHeight="1">
      <c r="A56" s="415">
        <v>3</v>
      </c>
      <c r="B56" s="416" t="s">
        <v>187</v>
      </c>
      <c r="C56" s="417">
        <v>730</v>
      </c>
      <c r="D56" s="443" t="s">
        <v>456</v>
      </c>
      <c r="E56" s="423" t="s">
        <v>159</v>
      </c>
      <c r="F56" s="769">
        <v>15805.21</v>
      </c>
      <c r="G56" s="769"/>
      <c r="H56" s="769"/>
      <c r="I56" s="770">
        <v>10000</v>
      </c>
      <c r="J56" s="876"/>
      <c r="K56" s="769">
        <v>10000</v>
      </c>
      <c r="L56" s="769"/>
      <c r="M56" s="769"/>
      <c r="N56" s="770">
        <v>10000</v>
      </c>
      <c r="O56" s="769"/>
      <c r="P56" s="769"/>
      <c r="Q56" s="770">
        <v>10000</v>
      </c>
      <c r="R56" s="771"/>
      <c r="S56" s="771"/>
      <c r="T56" s="772">
        <f t="shared" si="12"/>
        <v>25805.21</v>
      </c>
      <c r="U56" s="421"/>
      <c r="V56" s="422"/>
      <c r="X56" s="414">
        <f t="shared" si="1"/>
      </c>
      <c r="Y56" s="414">
        <f t="shared" si="2"/>
      </c>
      <c r="Z56" s="414">
        <f t="shared" si="3"/>
      </c>
    </row>
    <row r="57" spans="1:26" ht="30" customHeight="1">
      <c r="A57" s="415">
        <v>3</v>
      </c>
      <c r="B57" s="416" t="s">
        <v>187</v>
      </c>
      <c r="C57" s="417">
        <v>740</v>
      </c>
      <c r="D57" s="443" t="s">
        <v>456</v>
      </c>
      <c r="E57" s="423" t="s">
        <v>506</v>
      </c>
      <c r="F57" s="769">
        <v>7.28</v>
      </c>
      <c r="G57" s="769"/>
      <c r="H57" s="769"/>
      <c r="I57" s="770">
        <v>10000</v>
      </c>
      <c r="J57" s="769"/>
      <c r="K57" s="769">
        <v>10000</v>
      </c>
      <c r="L57" s="769"/>
      <c r="M57" s="769"/>
      <c r="N57" s="770">
        <v>10000</v>
      </c>
      <c r="O57" s="769"/>
      <c r="P57" s="769"/>
      <c r="Q57" s="770">
        <v>10000</v>
      </c>
      <c r="R57" s="771"/>
      <c r="S57" s="771"/>
      <c r="T57" s="1292">
        <f t="shared" si="12"/>
        <v>10007.28</v>
      </c>
      <c r="U57" s="421"/>
      <c r="V57" s="422"/>
      <c r="X57" s="414">
        <f t="shared" si="1"/>
      </c>
      <c r="Y57" s="414">
        <f t="shared" si="2"/>
      </c>
      <c r="Z57" s="414">
        <f t="shared" si="3"/>
      </c>
    </row>
    <row r="58" spans="1:26" ht="30" customHeight="1">
      <c r="A58" s="415">
        <v>3</v>
      </c>
      <c r="B58" s="416" t="s">
        <v>187</v>
      </c>
      <c r="C58" s="429">
        <v>742</v>
      </c>
      <c r="D58" s="443" t="s">
        <v>456</v>
      </c>
      <c r="E58" s="423" t="s">
        <v>507</v>
      </c>
      <c r="F58" s="769">
        <v>6000</v>
      </c>
      <c r="G58" s="769"/>
      <c r="H58" s="769"/>
      <c r="I58" s="770">
        <v>6000</v>
      </c>
      <c r="J58" s="769"/>
      <c r="K58" s="769">
        <v>6000</v>
      </c>
      <c r="L58" s="769"/>
      <c r="M58" s="769"/>
      <c r="N58" s="770">
        <v>6000</v>
      </c>
      <c r="O58" s="769"/>
      <c r="P58" s="769"/>
      <c r="Q58" s="770">
        <v>6000</v>
      </c>
      <c r="R58" s="771"/>
      <c r="S58" s="771"/>
      <c r="T58" s="772">
        <f t="shared" si="12"/>
        <v>12000</v>
      </c>
      <c r="U58" s="421"/>
      <c r="V58" s="422"/>
      <c r="X58" s="414">
        <f t="shared" si="1"/>
      </c>
      <c r="Y58" s="414">
        <f t="shared" si="2"/>
      </c>
      <c r="Z58" s="414">
        <f t="shared" si="3"/>
      </c>
    </row>
    <row r="59" spans="1:26" ht="30" customHeight="1">
      <c r="A59" s="415">
        <v>3</v>
      </c>
      <c r="B59" s="416" t="s">
        <v>187</v>
      </c>
      <c r="C59" s="417">
        <v>848</v>
      </c>
      <c r="D59" s="443" t="s">
        <v>459</v>
      </c>
      <c r="E59" s="423" t="s">
        <v>307</v>
      </c>
      <c r="F59" s="769">
        <v>25772.7</v>
      </c>
      <c r="G59" s="769"/>
      <c r="H59" s="769"/>
      <c r="I59" s="770">
        <v>30000</v>
      </c>
      <c r="J59" s="769"/>
      <c r="K59" s="769">
        <v>30000</v>
      </c>
      <c r="L59" s="769"/>
      <c r="M59" s="769"/>
      <c r="N59" s="770">
        <v>30000</v>
      </c>
      <c r="O59" s="769"/>
      <c r="P59" s="769"/>
      <c r="Q59" s="770">
        <v>30000</v>
      </c>
      <c r="R59" s="771"/>
      <c r="S59" s="771"/>
      <c r="T59" s="772">
        <f t="shared" si="12"/>
        <v>55772.7</v>
      </c>
      <c r="U59" s="421"/>
      <c r="V59" s="422"/>
      <c r="X59" s="414">
        <f>IF(T59&gt;(F59+K59),"ERRORE","")</f>
      </c>
      <c r="Y59" s="414">
        <f>IF(U59&gt;(F59+N59),"ERRORE","")</f>
      </c>
      <c r="Z59" s="414">
        <f>IF(V59&gt;(F59+Q59),"ERRORE","")</f>
      </c>
    </row>
    <row r="60" spans="1:26" ht="30" customHeight="1">
      <c r="A60" s="415">
        <v>3</v>
      </c>
      <c r="B60" s="416" t="s">
        <v>187</v>
      </c>
      <c r="C60" s="417">
        <v>849</v>
      </c>
      <c r="D60" s="805" t="s">
        <v>625</v>
      </c>
      <c r="E60" s="328" t="s">
        <v>725</v>
      </c>
      <c r="F60" s="769">
        <v>22959.1</v>
      </c>
      <c r="G60" s="769"/>
      <c r="H60" s="769"/>
      <c r="I60" s="770">
        <v>19000</v>
      </c>
      <c r="J60" s="769"/>
      <c r="K60" s="769">
        <v>15000</v>
      </c>
      <c r="L60" s="769"/>
      <c r="M60" s="769"/>
      <c r="N60" s="770">
        <v>15000</v>
      </c>
      <c r="O60" s="769"/>
      <c r="P60" s="769"/>
      <c r="Q60" s="770">
        <v>15000</v>
      </c>
      <c r="R60" s="771"/>
      <c r="S60" s="771"/>
      <c r="T60" s="772">
        <f t="shared" si="12"/>
        <v>37959.1</v>
      </c>
      <c r="U60" s="421"/>
      <c r="V60" s="422"/>
      <c r="X60" s="414">
        <f>IF(T60&gt;(F60+K60),"ERRORE","")</f>
      </c>
      <c r="Y60" s="414">
        <f>IF(U60&gt;(F60+N60),"ERRORE","")</f>
      </c>
      <c r="Z60" s="414">
        <f>IF(V60&gt;(F60+Q60),"ERRORE","")</f>
      </c>
    </row>
    <row r="61" spans="1:26" ht="30" customHeight="1">
      <c r="A61" s="415">
        <v>3</v>
      </c>
      <c r="B61" s="416" t="s">
        <v>187</v>
      </c>
      <c r="C61" s="417">
        <v>850</v>
      </c>
      <c r="D61" s="443" t="s">
        <v>459</v>
      </c>
      <c r="E61" s="423" t="s">
        <v>473</v>
      </c>
      <c r="F61" s="769">
        <v>38954.38</v>
      </c>
      <c r="G61" s="769"/>
      <c r="H61" s="769"/>
      <c r="I61" s="770">
        <f>15000-7000</f>
        <v>8000</v>
      </c>
      <c r="J61" s="769"/>
      <c r="K61" s="769">
        <v>8000</v>
      </c>
      <c r="L61" s="769"/>
      <c r="M61" s="769"/>
      <c r="N61" s="770">
        <v>8000</v>
      </c>
      <c r="O61" s="769"/>
      <c r="P61" s="769"/>
      <c r="Q61" s="770">
        <v>8000</v>
      </c>
      <c r="R61" s="771"/>
      <c r="S61" s="771"/>
      <c r="T61" s="772">
        <f t="shared" si="12"/>
        <v>46954.38</v>
      </c>
      <c r="U61" s="421"/>
      <c r="V61" s="422"/>
      <c r="X61" s="414">
        <f t="shared" si="1"/>
      </c>
      <c r="Y61" s="414">
        <f t="shared" si="2"/>
      </c>
      <c r="Z61" s="414">
        <f t="shared" si="3"/>
      </c>
    </row>
    <row r="62" spans="1:26" ht="30" customHeight="1" thickBot="1">
      <c r="A62" s="453">
        <v>3</v>
      </c>
      <c r="B62" s="454" t="s">
        <v>187</v>
      </c>
      <c r="C62" s="455">
        <v>851</v>
      </c>
      <c r="D62" s="456" t="s">
        <v>459</v>
      </c>
      <c r="E62" s="457" t="s">
        <v>509</v>
      </c>
      <c r="F62" s="885">
        <v>3410</v>
      </c>
      <c r="G62" s="885"/>
      <c r="H62" s="885"/>
      <c r="I62" s="884">
        <v>16000</v>
      </c>
      <c r="J62" s="885"/>
      <c r="K62" s="885">
        <v>15000</v>
      </c>
      <c r="L62" s="885"/>
      <c r="M62" s="885"/>
      <c r="N62" s="884">
        <v>15000</v>
      </c>
      <c r="O62" s="927"/>
      <c r="P62" s="885"/>
      <c r="Q62" s="884">
        <v>15000</v>
      </c>
      <c r="R62" s="1255"/>
      <c r="S62" s="1255"/>
      <c r="T62" s="772">
        <f t="shared" si="12"/>
        <v>18410</v>
      </c>
      <c r="U62" s="460"/>
      <c r="V62" s="461"/>
      <c r="X62" s="414">
        <f t="shared" si="1"/>
      </c>
      <c r="Y62" s="414">
        <f t="shared" si="2"/>
      </c>
      <c r="Z62" s="414">
        <f t="shared" si="3"/>
      </c>
    </row>
    <row r="63" spans="1:26" s="464" customFormat="1" ht="30" customHeight="1" thickBot="1">
      <c r="A63" s="1307" t="s">
        <v>615</v>
      </c>
      <c r="B63" s="1308"/>
      <c r="C63" s="1308"/>
      <c r="D63" s="1308"/>
      <c r="E63" s="1309"/>
      <c r="F63" s="425">
        <f aca="true" t="shared" si="13" ref="F63:V63">SUM(F50:F62)</f>
        <v>150320.83000000002</v>
      </c>
      <c r="G63" s="425">
        <f t="shared" si="13"/>
        <v>0</v>
      </c>
      <c r="H63" s="425">
        <f t="shared" si="13"/>
        <v>0</v>
      </c>
      <c r="I63" s="877">
        <f t="shared" si="13"/>
        <v>174093.44</v>
      </c>
      <c r="J63" s="877">
        <f t="shared" si="13"/>
        <v>0</v>
      </c>
      <c r="K63" s="877">
        <f t="shared" si="13"/>
        <v>159900</v>
      </c>
      <c r="L63" s="877">
        <f t="shared" si="13"/>
        <v>0</v>
      </c>
      <c r="M63" s="877">
        <f t="shared" si="13"/>
        <v>0</v>
      </c>
      <c r="N63" s="877">
        <f t="shared" si="13"/>
        <v>159900</v>
      </c>
      <c r="O63" s="425">
        <f t="shared" si="13"/>
        <v>0</v>
      </c>
      <c r="P63" s="425">
        <f t="shared" si="13"/>
        <v>0</v>
      </c>
      <c r="Q63" s="425">
        <f t="shared" si="13"/>
        <v>159900</v>
      </c>
      <c r="R63" s="425">
        <f t="shared" si="13"/>
        <v>0</v>
      </c>
      <c r="S63" s="425">
        <f t="shared" si="13"/>
        <v>0</v>
      </c>
      <c r="T63" s="814">
        <f t="shared" si="13"/>
        <v>310220.82999999996</v>
      </c>
      <c r="U63" s="462">
        <f t="shared" si="13"/>
        <v>0</v>
      </c>
      <c r="V63" s="463">
        <f t="shared" si="13"/>
        <v>0</v>
      </c>
      <c r="X63" s="414">
        <f t="shared" si="1"/>
      </c>
      <c r="Y63" s="414">
        <f t="shared" si="2"/>
      </c>
      <c r="Z63" s="414">
        <f t="shared" si="3"/>
      </c>
    </row>
    <row r="64" spans="1:26" ht="30" customHeight="1">
      <c r="A64" s="404">
        <v>3</v>
      </c>
      <c r="B64" s="405" t="s">
        <v>188</v>
      </c>
      <c r="C64" s="465">
        <v>475</v>
      </c>
      <c r="D64" s="439" t="s">
        <v>445</v>
      </c>
      <c r="E64" s="440" t="s">
        <v>162</v>
      </c>
      <c r="F64" s="441">
        <v>3100</v>
      </c>
      <c r="G64" s="441"/>
      <c r="H64" s="441"/>
      <c r="I64" s="884">
        <v>6000</v>
      </c>
      <c r="J64" s="886"/>
      <c r="K64" s="885">
        <v>3000</v>
      </c>
      <c r="L64" s="875"/>
      <c r="M64" s="887"/>
      <c r="N64" s="885">
        <v>3000</v>
      </c>
      <c r="O64" s="925"/>
      <c r="P64" s="925"/>
      <c r="Q64" s="926">
        <v>3000</v>
      </c>
      <c r="R64" s="467"/>
      <c r="S64" s="467"/>
      <c r="T64" s="1293">
        <f>F64+K64</f>
        <v>6100</v>
      </c>
      <c r="U64" s="467"/>
      <c r="V64" s="468"/>
      <c r="X64" s="414">
        <f t="shared" si="1"/>
      </c>
      <c r="Y64" s="414">
        <f t="shared" si="2"/>
      </c>
      <c r="Z64" s="414">
        <f t="shared" si="3"/>
      </c>
    </row>
    <row r="65" spans="1:26" ht="30" customHeight="1">
      <c r="A65" s="469">
        <v>3</v>
      </c>
      <c r="B65" s="470" t="s">
        <v>188</v>
      </c>
      <c r="C65" s="471">
        <v>478</v>
      </c>
      <c r="D65" s="806" t="s">
        <v>445</v>
      </c>
      <c r="E65" s="1083" t="s">
        <v>730</v>
      </c>
      <c r="F65" s="473">
        <v>55231.72</v>
      </c>
      <c r="G65" s="473"/>
      <c r="H65" s="473"/>
      <c r="I65" s="891">
        <v>45000</v>
      </c>
      <c r="J65" s="888"/>
      <c r="K65" s="889">
        <v>35000</v>
      </c>
      <c r="L65" s="888"/>
      <c r="M65" s="888"/>
      <c r="N65" s="889">
        <v>35000</v>
      </c>
      <c r="O65" s="888"/>
      <c r="P65" s="888"/>
      <c r="Q65" s="1084">
        <v>35000</v>
      </c>
      <c r="R65" s="474"/>
      <c r="S65" s="474"/>
      <c r="T65" s="772">
        <f>F65+K65</f>
        <v>90231.72</v>
      </c>
      <c r="U65" s="474"/>
      <c r="V65" s="475"/>
      <c r="X65" s="414">
        <f t="shared" si="1"/>
      </c>
      <c r="Y65" s="414">
        <f t="shared" si="2"/>
      </c>
      <c r="Z65" s="414">
        <f t="shared" si="3"/>
      </c>
    </row>
    <row r="66" spans="1:26" ht="30" customHeight="1" thickBot="1">
      <c r="A66" s="453">
        <v>3</v>
      </c>
      <c r="B66" s="454" t="s">
        <v>188</v>
      </c>
      <c r="C66" s="455">
        <v>479</v>
      </c>
      <c r="D66" s="456" t="s">
        <v>253</v>
      </c>
      <c r="E66" s="476" t="s">
        <v>731</v>
      </c>
      <c r="F66" s="477">
        <v>53480</v>
      </c>
      <c r="G66" s="477"/>
      <c r="H66" s="477"/>
      <c r="I66" s="891">
        <f>15000+23480</f>
        <v>38480</v>
      </c>
      <c r="J66" s="889"/>
      <c r="K66" s="889">
        <v>30000</v>
      </c>
      <c r="L66" s="889"/>
      <c r="M66" s="889"/>
      <c r="N66" s="889">
        <v>30000</v>
      </c>
      <c r="O66" s="1085"/>
      <c r="P66" s="1085"/>
      <c r="Q66" s="1086">
        <v>30000</v>
      </c>
      <c r="R66" s="478"/>
      <c r="S66" s="478"/>
      <c r="T66" s="1294">
        <f>F66+K66</f>
        <v>83480</v>
      </c>
      <c r="U66" s="478"/>
      <c r="V66" s="461"/>
      <c r="X66" s="414">
        <f t="shared" si="1"/>
      </c>
      <c r="Y66" s="414">
        <f t="shared" si="2"/>
      </c>
      <c r="Z66" s="414">
        <f t="shared" si="3"/>
      </c>
    </row>
    <row r="67" spans="1:26" s="464" customFormat="1" ht="30" customHeight="1" thickBot="1">
      <c r="A67" s="1324" t="s">
        <v>616</v>
      </c>
      <c r="B67" s="1325"/>
      <c r="C67" s="1325"/>
      <c r="D67" s="1325"/>
      <c r="E67" s="1330"/>
      <c r="F67" s="479">
        <f aca="true" t="shared" si="14" ref="F67:V67">SUM(F64:F66)</f>
        <v>111811.72</v>
      </c>
      <c r="G67" s="479">
        <f t="shared" si="14"/>
        <v>0</v>
      </c>
      <c r="H67" s="479">
        <f t="shared" si="14"/>
        <v>0</v>
      </c>
      <c r="I67" s="890">
        <f t="shared" si="14"/>
        <v>89480</v>
      </c>
      <c r="J67" s="890">
        <f t="shared" si="14"/>
        <v>0</v>
      </c>
      <c r="K67" s="890">
        <f t="shared" si="14"/>
        <v>68000</v>
      </c>
      <c r="L67" s="890">
        <f t="shared" si="14"/>
        <v>0</v>
      </c>
      <c r="M67" s="890">
        <f t="shared" si="14"/>
        <v>0</v>
      </c>
      <c r="N67" s="890">
        <f t="shared" si="14"/>
        <v>68000</v>
      </c>
      <c r="O67" s="890">
        <f t="shared" si="14"/>
        <v>0</v>
      </c>
      <c r="P67" s="890">
        <f t="shared" si="14"/>
        <v>0</v>
      </c>
      <c r="Q67" s="890">
        <f t="shared" si="14"/>
        <v>68000</v>
      </c>
      <c r="R67" s="479">
        <f>SUM(R64:R66)</f>
        <v>0</v>
      </c>
      <c r="S67" s="479">
        <f>SUM(S64:S66)</f>
        <v>0</v>
      </c>
      <c r="T67" s="814">
        <f t="shared" si="14"/>
        <v>179811.72</v>
      </c>
      <c r="U67" s="462">
        <f t="shared" si="14"/>
        <v>0</v>
      </c>
      <c r="V67" s="463">
        <f t="shared" si="14"/>
        <v>0</v>
      </c>
      <c r="X67" s="414">
        <f t="shared" si="1"/>
      </c>
      <c r="Y67" s="414">
        <f t="shared" si="2"/>
      </c>
      <c r="Z67" s="414">
        <f t="shared" si="3"/>
      </c>
    </row>
    <row r="68" spans="1:26" ht="30" customHeight="1">
      <c r="A68" s="404">
        <v>3</v>
      </c>
      <c r="B68" s="405" t="s">
        <v>189</v>
      </c>
      <c r="C68" s="465">
        <v>895</v>
      </c>
      <c r="D68" s="439" t="s">
        <v>457</v>
      </c>
      <c r="E68" s="408" t="s">
        <v>153</v>
      </c>
      <c r="F68" s="409">
        <v>0</v>
      </c>
      <c r="G68" s="409"/>
      <c r="H68" s="409"/>
      <c r="I68" s="875">
        <v>200</v>
      </c>
      <c r="J68" s="875"/>
      <c r="K68" s="874">
        <v>100</v>
      </c>
      <c r="L68" s="875"/>
      <c r="M68" s="875"/>
      <c r="N68" s="875">
        <v>100</v>
      </c>
      <c r="O68" s="925"/>
      <c r="P68" s="925"/>
      <c r="Q68" s="926">
        <v>100</v>
      </c>
      <c r="R68" s="467"/>
      <c r="S68" s="467"/>
      <c r="T68" s="816">
        <f>F68+K68</f>
        <v>100</v>
      </c>
      <c r="U68" s="467"/>
      <c r="V68" s="468"/>
      <c r="X68" s="414">
        <f t="shared" si="1"/>
      </c>
      <c r="Y68" s="414">
        <f t="shared" si="2"/>
      </c>
      <c r="Z68" s="414">
        <f t="shared" si="3"/>
      </c>
    </row>
    <row r="69" spans="1:26" ht="30" customHeight="1" thickBot="1">
      <c r="A69" s="453">
        <v>3</v>
      </c>
      <c r="B69" s="454" t="s">
        <v>189</v>
      </c>
      <c r="C69" s="480">
        <v>890</v>
      </c>
      <c r="D69" s="456" t="s">
        <v>458</v>
      </c>
      <c r="E69" s="476" t="s">
        <v>474</v>
      </c>
      <c r="F69" s="477">
        <v>0</v>
      </c>
      <c r="G69" s="477"/>
      <c r="H69" s="477"/>
      <c r="I69" s="885">
        <v>150</v>
      </c>
      <c r="J69" s="885"/>
      <c r="K69" s="884">
        <v>50</v>
      </c>
      <c r="L69" s="885"/>
      <c r="M69" s="885"/>
      <c r="N69" s="885">
        <v>50</v>
      </c>
      <c r="O69" s="927"/>
      <c r="P69" s="927"/>
      <c r="Q69" s="928">
        <v>50</v>
      </c>
      <c r="R69" s="478"/>
      <c r="S69" s="478"/>
      <c r="T69" s="815">
        <f>F69+K69</f>
        <v>50</v>
      </c>
      <c r="U69" s="478"/>
      <c r="V69" s="461"/>
      <c r="X69" s="414">
        <f t="shared" si="1"/>
      </c>
      <c r="Y69" s="414">
        <f t="shared" si="2"/>
      </c>
      <c r="Z69" s="414">
        <f t="shared" si="3"/>
      </c>
    </row>
    <row r="70" spans="1:26" s="464" customFormat="1" ht="30" customHeight="1" thickBot="1">
      <c r="A70" s="1324" t="s">
        <v>617</v>
      </c>
      <c r="B70" s="1325"/>
      <c r="C70" s="1325"/>
      <c r="D70" s="1325"/>
      <c r="E70" s="1330"/>
      <c r="F70" s="479">
        <f aca="true" t="shared" si="15" ref="F70:V70">SUM(F68:F69)</f>
        <v>0</v>
      </c>
      <c r="G70" s="479">
        <f t="shared" si="15"/>
        <v>0</v>
      </c>
      <c r="H70" s="479">
        <f t="shared" si="15"/>
        <v>0</v>
      </c>
      <c r="I70" s="890">
        <f t="shared" si="15"/>
        <v>350</v>
      </c>
      <c r="J70" s="890">
        <f t="shared" si="15"/>
        <v>0</v>
      </c>
      <c r="K70" s="890">
        <f t="shared" si="15"/>
        <v>150</v>
      </c>
      <c r="L70" s="890">
        <f t="shared" si="15"/>
        <v>0</v>
      </c>
      <c r="M70" s="890">
        <f t="shared" si="15"/>
        <v>0</v>
      </c>
      <c r="N70" s="890">
        <f t="shared" si="15"/>
        <v>150</v>
      </c>
      <c r="O70" s="479">
        <f t="shared" si="15"/>
        <v>0</v>
      </c>
      <c r="P70" s="479">
        <f t="shared" si="15"/>
        <v>0</v>
      </c>
      <c r="Q70" s="479">
        <f t="shared" si="15"/>
        <v>150</v>
      </c>
      <c r="R70" s="479">
        <f>SUM(R68:R69)</f>
        <v>0</v>
      </c>
      <c r="S70" s="479">
        <f>SUM(S68:S69)</f>
        <v>0</v>
      </c>
      <c r="T70" s="814">
        <f t="shared" si="15"/>
        <v>150</v>
      </c>
      <c r="U70" s="427">
        <f t="shared" si="15"/>
        <v>0</v>
      </c>
      <c r="V70" s="428">
        <f t="shared" si="15"/>
        <v>0</v>
      </c>
      <c r="X70" s="414">
        <f t="shared" si="1"/>
      </c>
      <c r="Y70" s="414">
        <f t="shared" si="2"/>
      </c>
      <c r="Z70" s="414">
        <f t="shared" si="3"/>
      </c>
    </row>
    <row r="71" spans="1:26" ht="30" customHeight="1">
      <c r="A71" s="415">
        <v>3</v>
      </c>
      <c r="B71" s="416" t="s">
        <v>433</v>
      </c>
      <c r="C71" s="417">
        <v>555</v>
      </c>
      <c r="D71" s="443" t="s">
        <v>926</v>
      </c>
      <c r="E71" s="328" t="s">
        <v>475</v>
      </c>
      <c r="F71" s="419">
        <v>0</v>
      </c>
      <c r="G71" s="419"/>
      <c r="H71" s="419"/>
      <c r="I71" s="770">
        <v>5000</v>
      </c>
      <c r="J71" s="769"/>
      <c r="K71" s="769">
        <v>5000</v>
      </c>
      <c r="L71" s="769"/>
      <c r="M71" s="769"/>
      <c r="N71" s="769">
        <v>5000</v>
      </c>
      <c r="O71" s="769"/>
      <c r="P71" s="769"/>
      <c r="Q71" s="770">
        <v>5000</v>
      </c>
      <c r="R71" s="421"/>
      <c r="S71" s="421"/>
      <c r="T71" s="772">
        <f aca="true" t="shared" si="16" ref="T71:T77">F71+K71</f>
        <v>5000</v>
      </c>
      <c r="U71" s="421"/>
      <c r="V71" s="422"/>
      <c r="X71" s="414">
        <f t="shared" si="1"/>
      </c>
      <c r="Y71" s="414">
        <f t="shared" si="2"/>
      </c>
      <c r="Z71" s="414">
        <f t="shared" si="3"/>
      </c>
    </row>
    <row r="72" spans="1:26" ht="30" customHeight="1">
      <c r="A72" s="415">
        <v>3</v>
      </c>
      <c r="B72" s="416" t="s">
        <v>433</v>
      </c>
      <c r="C72" s="429">
        <v>950</v>
      </c>
      <c r="D72" s="443" t="s">
        <v>508</v>
      </c>
      <c r="E72" s="328" t="s">
        <v>907</v>
      </c>
      <c r="F72" s="419">
        <v>44750.1</v>
      </c>
      <c r="G72" s="419"/>
      <c r="H72" s="419"/>
      <c r="I72" s="769">
        <v>40000</v>
      </c>
      <c r="J72" s="769"/>
      <c r="K72" s="769">
        <v>42000</v>
      </c>
      <c r="L72" s="769"/>
      <c r="M72" s="769"/>
      <c r="N72" s="769">
        <v>42000</v>
      </c>
      <c r="O72" s="769"/>
      <c r="P72" s="769"/>
      <c r="Q72" s="770">
        <v>42000</v>
      </c>
      <c r="R72" s="421"/>
      <c r="S72" s="421"/>
      <c r="T72" s="1292">
        <f t="shared" si="16"/>
        <v>86750.1</v>
      </c>
      <c r="U72" s="421"/>
      <c r="V72" s="422"/>
      <c r="X72" s="414">
        <f t="shared" si="1"/>
      </c>
      <c r="Y72" s="414">
        <f t="shared" si="2"/>
      </c>
      <c r="Z72" s="414">
        <f t="shared" si="3"/>
      </c>
    </row>
    <row r="73" spans="1:26" ht="30" customHeight="1">
      <c r="A73" s="415">
        <v>3</v>
      </c>
      <c r="B73" s="416" t="s">
        <v>433</v>
      </c>
      <c r="C73" s="429">
        <v>951</v>
      </c>
      <c r="D73" s="456" t="s">
        <v>86</v>
      </c>
      <c r="E73" s="457" t="s">
        <v>154</v>
      </c>
      <c r="F73" s="419">
        <v>0</v>
      </c>
      <c r="G73" s="419"/>
      <c r="H73" s="419"/>
      <c r="I73" s="770">
        <v>5000</v>
      </c>
      <c r="J73" s="769"/>
      <c r="K73" s="769">
        <v>5000</v>
      </c>
      <c r="L73" s="769"/>
      <c r="M73" s="769"/>
      <c r="N73" s="769">
        <v>5000</v>
      </c>
      <c r="O73" s="769"/>
      <c r="P73" s="769"/>
      <c r="Q73" s="770">
        <v>5000</v>
      </c>
      <c r="R73" s="421"/>
      <c r="S73" s="421"/>
      <c r="T73" s="772">
        <f t="shared" si="16"/>
        <v>5000</v>
      </c>
      <c r="U73" s="421"/>
      <c r="V73" s="422"/>
      <c r="W73" s="421"/>
      <c r="X73" s="414">
        <f t="shared" si="1"/>
      </c>
      <c r="Y73" s="414">
        <f t="shared" si="2"/>
      </c>
      <c r="Z73" s="414">
        <f t="shared" si="3"/>
      </c>
    </row>
    <row r="74" spans="1:26" ht="30" customHeight="1">
      <c r="A74" s="415">
        <v>3</v>
      </c>
      <c r="B74" s="416" t="s">
        <v>433</v>
      </c>
      <c r="C74" s="429">
        <v>954</v>
      </c>
      <c r="D74" s="456" t="s">
        <v>86</v>
      </c>
      <c r="E74" s="476" t="s">
        <v>927</v>
      </c>
      <c r="F74" s="419">
        <v>2918.24</v>
      </c>
      <c r="G74" s="419"/>
      <c r="H74" s="419"/>
      <c r="I74" s="770">
        <v>2900</v>
      </c>
      <c r="J74" s="769"/>
      <c r="K74" s="769">
        <v>1000</v>
      </c>
      <c r="L74" s="769"/>
      <c r="M74" s="769"/>
      <c r="N74" s="769">
        <v>1000</v>
      </c>
      <c r="O74" s="769"/>
      <c r="P74" s="769"/>
      <c r="Q74" s="770">
        <v>1000</v>
      </c>
      <c r="R74" s="421"/>
      <c r="S74" s="421"/>
      <c r="T74" s="1292">
        <f t="shared" si="16"/>
        <v>3918.24</v>
      </c>
      <c r="U74" s="421"/>
      <c r="V74" s="422"/>
      <c r="W74" s="421"/>
      <c r="X74" s="414">
        <f>IF(T74&gt;(F74+K74),"ERRORE","")</f>
      </c>
      <c r="Y74" s="414">
        <f>IF(U74&gt;(F74+N74),"ERRORE","")</f>
      </c>
      <c r="Z74" s="414">
        <f>IF(V74&gt;(F74+Q74),"ERRORE","")</f>
      </c>
    </row>
    <row r="75" spans="1:26" ht="30" customHeight="1">
      <c r="A75" s="453">
        <v>3</v>
      </c>
      <c r="B75" s="454" t="s">
        <v>433</v>
      </c>
      <c r="C75" s="1252">
        <v>956</v>
      </c>
      <c r="D75" s="1253" t="s">
        <v>900</v>
      </c>
      <c r="E75" s="1254" t="s">
        <v>902</v>
      </c>
      <c r="F75" s="1255"/>
      <c r="G75" s="885"/>
      <c r="H75" s="885"/>
      <c r="I75" s="884"/>
      <c r="J75" s="885"/>
      <c r="K75" s="885">
        <f>SPESA!M53+SPESA!M54+SPESA!M55</f>
        <v>8000</v>
      </c>
      <c r="L75" s="885">
        <f>SPESA!N53+SPESA!N54</f>
        <v>0</v>
      </c>
      <c r="M75" s="885">
        <f>SPESA!O53+SPESA!O54</f>
        <v>0</v>
      </c>
      <c r="N75" s="885">
        <f>SPESA!P53+SPESA!P54+SPESA!P55</f>
        <v>8000</v>
      </c>
      <c r="O75" s="885">
        <f>SPESA!Q53+SPESA!Q54</f>
        <v>0</v>
      </c>
      <c r="P75" s="885">
        <f>SPESA!R53+SPESA!R54</f>
        <v>0</v>
      </c>
      <c r="Q75" s="885">
        <f>SPESA!S53+SPESA!S54+SPESA!S55</f>
        <v>8000</v>
      </c>
      <c r="R75" s="421"/>
      <c r="S75" s="421"/>
      <c r="T75" s="772">
        <f t="shared" si="16"/>
        <v>8000</v>
      </c>
      <c r="U75" s="421"/>
      <c r="V75" s="422"/>
      <c r="W75" s="474"/>
      <c r="X75" s="414">
        <f>IF(T75&gt;(F75+K75),"ERRORE","")</f>
      </c>
      <c r="Y75" s="414"/>
      <c r="Z75" s="414"/>
    </row>
    <row r="76" spans="1:26" ht="30" customHeight="1">
      <c r="A76" s="453">
        <v>3</v>
      </c>
      <c r="B76" s="454" t="s">
        <v>433</v>
      </c>
      <c r="C76" s="1252">
        <v>957</v>
      </c>
      <c r="D76" s="1253" t="s">
        <v>900</v>
      </c>
      <c r="E76" s="1254" t="s">
        <v>903</v>
      </c>
      <c r="F76" s="1255"/>
      <c r="G76" s="885"/>
      <c r="H76" s="885"/>
      <c r="I76" s="884"/>
      <c r="J76" s="885"/>
      <c r="K76" s="885">
        <f>K75*25%</f>
        <v>2000</v>
      </c>
      <c r="L76" s="885">
        <f aca="true" t="shared" si="17" ref="L76:Q76">L75*25%</f>
        <v>0</v>
      </c>
      <c r="M76" s="885">
        <f t="shared" si="17"/>
        <v>0</v>
      </c>
      <c r="N76" s="885">
        <f t="shared" si="17"/>
        <v>2000</v>
      </c>
      <c r="O76" s="885">
        <f t="shared" si="17"/>
        <v>0</v>
      </c>
      <c r="P76" s="885">
        <f t="shared" si="17"/>
        <v>0</v>
      </c>
      <c r="Q76" s="885">
        <f t="shared" si="17"/>
        <v>2000</v>
      </c>
      <c r="R76" s="421"/>
      <c r="S76" s="421"/>
      <c r="T76" s="772">
        <f t="shared" si="16"/>
        <v>2000</v>
      </c>
      <c r="U76" s="421"/>
      <c r="V76" s="422"/>
      <c r="W76" s="474"/>
      <c r="X76" s="414">
        <f>IF(T76&gt;(F76+K76),"ERRORE","")</f>
      </c>
      <c r="Y76" s="414"/>
      <c r="Z76" s="414"/>
    </row>
    <row r="77" spans="1:26" ht="30" customHeight="1" thickBot="1">
      <c r="A77" s="453">
        <v>3</v>
      </c>
      <c r="B77" s="454" t="s">
        <v>433</v>
      </c>
      <c r="C77" s="480">
        <v>966</v>
      </c>
      <c r="D77" s="472" t="s">
        <v>87</v>
      </c>
      <c r="E77" s="538" t="s">
        <v>464</v>
      </c>
      <c r="F77" s="458">
        <v>0</v>
      </c>
      <c r="G77" s="458"/>
      <c r="H77" s="458"/>
      <c r="I77" s="891">
        <v>10000</v>
      </c>
      <c r="J77" s="889"/>
      <c r="K77" s="889">
        <v>10000</v>
      </c>
      <c r="L77" s="889"/>
      <c r="M77" s="889"/>
      <c r="N77" s="889">
        <v>10000</v>
      </c>
      <c r="O77" s="876"/>
      <c r="P77" s="876"/>
      <c r="Q77" s="881">
        <v>10000</v>
      </c>
      <c r="R77" s="445"/>
      <c r="S77" s="445"/>
      <c r="T77" s="772">
        <f t="shared" si="16"/>
        <v>10000</v>
      </c>
      <c r="U77" s="445"/>
      <c r="V77" s="482"/>
      <c r="X77" s="414">
        <f>IF(T77&gt;(F77+K77),"ERRORE","")</f>
      </c>
      <c r="Y77" s="414">
        <f t="shared" si="2"/>
      </c>
      <c r="Z77" s="414">
        <f t="shared" si="3"/>
      </c>
    </row>
    <row r="78" spans="1:26" s="464" customFormat="1" ht="30" customHeight="1" thickBot="1">
      <c r="A78" s="1307" t="s">
        <v>618</v>
      </c>
      <c r="B78" s="1308"/>
      <c r="C78" s="1308"/>
      <c r="D78" s="1308"/>
      <c r="E78" s="1309"/>
      <c r="F78" s="425">
        <f aca="true" t="shared" si="18" ref="F78:V78">SUM(F71:F77)</f>
        <v>47668.34</v>
      </c>
      <c r="G78" s="425">
        <f t="shared" si="18"/>
        <v>0</v>
      </c>
      <c r="H78" s="425">
        <f t="shared" si="18"/>
        <v>0</v>
      </c>
      <c r="I78" s="877">
        <f t="shared" si="18"/>
        <v>62900</v>
      </c>
      <c r="J78" s="877">
        <f t="shared" si="18"/>
        <v>0</v>
      </c>
      <c r="K78" s="877">
        <f t="shared" si="18"/>
        <v>73000</v>
      </c>
      <c r="L78" s="877">
        <f t="shared" si="18"/>
        <v>0</v>
      </c>
      <c r="M78" s="877">
        <f t="shared" si="18"/>
        <v>0</v>
      </c>
      <c r="N78" s="877">
        <f t="shared" si="18"/>
        <v>73000</v>
      </c>
      <c r="O78" s="425">
        <f t="shared" si="18"/>
        <v>0</v>
      </c>
      <c r="P78" s="425">
        <f t="shared" si="18"/>
        <v>0</v>
      </c>
      <c r="Q78" s="425">
        <f t="shared" si="18"/>
        <v>73000</v>
      </c>
      <c r="R78" s="425">
        <f t="shared" si="18"/>
        <v>0</v>
      </c>
      <c r="S78" s="425">
        <f t="shared" si="18"/>
        <v>0</v>
      </c>
      <c r="T78" s="814">
        <f t="shared" si="18"/>
        <v>120668.34000000001</v>
      </c>
      <c r="U78" s="463">
        <f t="shared" si="18"/>
        <v>0</v>
      </c>
      <c r="V78" s="426">
        <f t="shared" si="18"/>
        <v>0</v>
      </c>
      <c r="X78" s="414">
        <f t="shared" si="1"/>
      </c>
      <c r="Y78" s="414">
        <f t="shared" si="2"/>
      </c>
      <c r="Z78" s="414">
        <f t="shared" si="3"/>
      </c>
    </row>
    <row r="79" spans="1:26" s="433" customFormat="1" ht="30" customHeight="1" thickBot="1">
      <c r="A79" s="1313" t="s">
        <v>17</v>
      </c>
      <c r="B79" s="1314"/>
      <c r="C79" s="1314"/>
      <c r="D79" s="1314"/>
      <c r="E79" s="1314"/>
      <c r="F79" s="1064">
        <f aca="true" t="shared" si="19" ref="F79:V79">F63+F67+F70+F78</f>
        <v>309800.89</v>
      </c>
      <c r="G79" s="1064">
        <f t="shared" si="19"/>
        <v>0</v>
      </c>
      <c r="H79" s="1064">
        <f t="shared" si="19"/>
        <v>0</v>
      </c>
      <c r="I79" s="1064">
        <f t="shared" si="19"/>
        <v>326823.44</v>
      </c>
      <c r="J79" s="1064">
        <f t="shared" si="19"/>
        <v>0</v>
      </c>
      <c r="K79" s="1064">
        <f t="shared" si="19"/>
        <v>301050</v>
      </c>
      <c r="L79" s="1064">
        <f t="shared" si="19"/>
        <v>0</v>
      </c>
      <c r="M79" s="1064">
        <f t="shared" si="19"/>
        <v>0</v>
      </c>
      <c r="N79" s="1064">
        <f t="shared" si="19"/>
        <v>301050</v>
      </c>
      <c r="O79" s="1064">
        <f t="shared" si="19"/>
        <v>0</v>
      </c>
      <c r="P79" s="1064">
        <f t="shared" si="19"/>
        <v>0</v>
      </c>
      <c r="Q79" s="1064">
        <f t="shared" si="19"/>
        <v>301050</v>
      </c>
      <c r="R79" s="1064">
        <f t="shared" si="19"/>
        <v>0</v>
      </c>
      <c r="S79" s="1064">
        <f t="shared" si="19"/>
        <v>0</v>
      </c>
      <c r="T79" s="1066">
        <f t="shared" si="19"/>
        <v>610850.8899999999</v>
      </c>
      <c r="U79" s="483">
        <f t="shared" si="19"/>
        <v>0</v>
      </c>
      <c r="V79" s="430">
        <f t="shared" si="19"/>
        <v>0</v>
      </c>
      <c r="X79" s="414">
        <f t="shared" si="1"/>
      </c>
      <c r="Y79" s="414">
        <f t="shared" si="2"/>
      </c>
      <c r="Z79" s="414">
        <f t="shared" si="3"/>
      </c>
    </row>
    <row r="80" spans="1:26" s="433" customFormat="1" ht="30" customHeight="1" thickBot="1">
      <c r="A80" s="1310" t="s">
        <v>18</v>
      </c>
      <c r="B80" s="1311"/>
      <c r="C80" s="1311"/>
      <c r="D80" s="1311"/>
      <c r="E80" s="1311"/>
      <c r="F80" s="1311"/>
      <c r="G80" s="1311"/>
      <c r="H80" s="1311"/>
      <c r="I80" s="1311"/>
      <c r="J80" s="1311"/>
      <c r="K80" s="1311"/>
      <c r="L80" s="1311"/>
      <c r="M80" s="1311"/>
      <c r="N80" s="1311"/>
      <c r="O80" s="1311"/>
      <c r="P80" s="1311"/>
      <c r="Q80" s="1311"/>
      <c r="R80" s="1311"/>
      <c r="S80" s="1311"/>
      <c r="T80" s="1311"/>
      <c r="U80" s="1311"/>
      <c r="V80" s="1312"/>
      <c r="X80" s="414"/>
      <c r="Y80" s="414">
        <f t="shared" si="2"/>
      </c>
      <c r="Z80" s="414">
        <f t="shared" si="3"/>
      </c>
    </row>
    <row r="81" spans="1:26" s="438" customFormat="1" ht="63" customHeight="1" thickBot="1">
      <c r="A81" s="446" t="str">
        <f>A5</f>
        <v>Titolo</v>
      </c>
      <c r="B81" s="447" t="str">
        <f>B5</f>
        <v>Tipologia</v>
      </c>
      <c r="C81" s="447" t="str">
        <f>C5</f>
        <v>Capitolo</v>
      </c>
      <c r="D81" s="448" t="s">
        <v>443</v>
      </c>
      <c r="E81" s="447" t="str">
        <f aca="true" t="shared" si="20" ref="E81:V81">E5</f>
        <v>DESCRIZIONE</v>
      </c>
      <c r="F81" s="447" t="str">
        <f t="shared" si="20"/>
        <v>RESIDUI PRESUNTI AL 31.12.2020              AL 12.01.2021</v>
      </c>
      <c r="G81" s="447" t="str">
        <f t="shared" si="20"/>
        <v>PREVISIONE INIZIALE 2018</v>
      </c>
      <c r="H81" s="447" t="str">
        <f t="shared" si="20"/>
        <v>ACCERTAMENTI 2018 ALLA DATA DEL </v>
      </c>
      <c r="I81" s="882" t="str">
        <f t="shared" si="20"/>
        <v>PREVISIONE 2020                            al 12.01.2021</v>
      </c>
      <c r="J81" s="882" t="str">
        <f t="shared" si="20"/>
        <v>PREVISIONE 2018                                                (solo FPV)</v>
      </c>
      <c r="K81" s="882" t="str">
        <f t="shared" si="20"/>
        <v>PREVISIONE 2021</v>
      </c>
      <c r="L81" s="882" t="str">
        <f t="shared" si="20"/>
        <v>PREVISIONE 2019                               (solo FPV)</v>
      </c>
      <c r="M81" s="882" t="str">
        <f t="shared" si="20"/>
        <v>F.P.V. rinveniente da debito</v>
      </c>
      <c r="N81" s="882" t="str">
        <f t="shared" si="20"/>
        <v>PREVISIONE 2022</v>
      </c>
      <c r="O81" s="449" t="str">
        <f t="shared" si="20"/>
        <v>PREVISIONE 2020                      (solo FPV)</v>
      </c>
      <c r="P81" s="449" t="str">
        <f t="shared" si="20"/>
        <v>F.P.V. rinveniente da debito</v>
      </c>
      <c r="Q81" s="484" t="str">
        <f t="shared" si="20"/>
        <v>PREVISIONE 2023</v>
      </c>
      <c r="R81" s="485" t="str">
        <f t="shared" si="20"/>
        <v>PREVISIONE 2021                     (solo FPV)</v>
      </c>
      <c r="S81" s="486" t="str">
        <f t="shared" si="20"/>
        <v>F.P.V. rinveniente da debito</v>
      </c>
      <c r="T81" s="831" t="str">
        <f t="shared" si="20"/>
        <v>PREVISIONE DI CASSA 2021</v>
      </c>
      <c r="U81" s="487" t="str">
        <f t="shared" si="20"/>
        <v>PEVISIONE DI CASSA 2021</v>
      </c>
      <c r="V81" s="484" t="str">
        <f t="shared" si="20"/>
        <v>PEVISIONE DI CASSA 2022</v>
      </c>
      <c r="X81" s="414"/>
      <c r="Y81" s="414"/>
      <c r="Z81" s="414"/>
    </row>
    <row r="82" spans="1:26" ht="30" customHeight="1">
      <c r="A82" s="404">
        <v>4</v>
      </c>
      <c r="B82" s="405" t="s">
        <v>678</v>
      </c>
      <c r="C82" s="406">
        <v>975</v>
      </c>
      <c r="D82" s="439" t="s">
        <v>150</v>
      </c>
      <c r="E82" s="488" t="s">
        <v>940</v>
      </c>
      <c r="F82" s="489">
        <v>0</v>
      </c>
      <c r="G82" s="489"/>
      <c r="H82" s="489"/>
      <c r="I82" s="874">
        <v>43400</v>
      </c>
      <c r="J82" s="874"/>
      <c r="K82" s="874"/>
      <c r="L82" s="875"/>
      <c r="M82" s="875"/>
      <c r="N82" s="875"/>
      <c r="O82" s="409"/>
      <c r="P82" s="409"/>
      <c r="Q82" s="410"/>
      <c r="R82" s="411"/>
      <c r="S82" s="411"/>
      <c r="T82" s="813">
        <f>F82+K82</f>
        <v>0</v>
      </c>
      <c r="U82" s="411"/>
      <c r="V82" s="412"/>
      <c r="X82" s="414">
        <f t="shared" si="1"/>
      </c>
      <c r="Y82" s="414">
        <f t="shared" si="2"/>
      </c>
      <c r="Z82" s="414">
        <f t="shared" si="3"/>
      </c>
    </row>
    <row r="83" spans="1:26" ht="30" customHeight="1">
      <c r="A83" s="404">
        <v>4</v>
      </c>
      <c r="B83" s="405" t="s">
        <v>678</v>
      </c>
      <c r="C83" s="406">
        <v>976</v>
      </c>
      <c r="D83" s="439" t="s">
        <v>150</v>
      </c>
      <c r="E83" s="488" t="s">
        <v>942</v>
      </c>
      <c r="F83" s="489">
        <v>0</v>
      </c>
      <c r="G83" s="489"/>
      <c r="H83" s="489"/>
      <c r="I83" s="874">
        <v>25605</v>
      </c>
      <c r="J83" s="874"/>
      <c r="K83" s="874"/>
      <c r="L83" s="875"/>
      <c r="M83" s="875"/>
      <c r="N83" s="875"/>
      <c r="O83" s="409"/>
      <c r="P83" s="409"/>
      <c r="Q83" s="410"/>
      <c r="R83" s="411"/>
      <c r="S83" s="411"/>
      <c r="T83" s="813">
        <f>F83+K83</f>
        <v>0</v>
      </c>
      <c r="U83" s="411"/>
      <c r="V83" s="412"/>
      <c r="X83" s="414">
        <f t="shared" si="1"/>
      </c>
      <c r="Y83" s="414">
        <f t="shared" si="2"/>
      </c>
      <c r="Z83" s="414">
        <f t="shared" si="3"/>
      </c>
    </row>
    <row r="84" spans="1:26" ht="30" customHeight="1">
      <c r="A84" s="404">
        <v>4</v>
      </c>
      <c r="B84" s="405" t="s">
        <v>678</v>
      </c>
      <c r="C84" s="1285">
        <v>977</v>
      </c>
      <c r="D84" s="439" t="s">
        <v>150</v>
      </c>
      <c r="E84" s="488" t="s">
        <v>954</v>
      </c>
      <c r="F84" s="489">
        <v>0</v>
      </c>
      <c r="G84" s="489"/>
      <c r="H84" s="489"/>
      <c r="I84" s="874"/>
      <c r="J84" s="874"/>
      <c r="K84" s="874"/>
      <c r="L84" s="875"/>
      <c r="M84" s="875"/>
      <c r="N84" s="875"/>
      <c r="O84" s="409"/>
      <c r="P84" s="409"/>
      <c r="Q84" s="410"/>
      <c r="R84" s="411"/>
      <c r="S84" s="411"/>
      <c r="T84" s="813">
        <f aca="true" t="shared" si="21" ref="T84:T117">F84+K84</f>
        <v>0</v>
      </c>
      <c r="U84" s="411"/>
      <c r="V84" s="412"/>
      <c r="X84" s="414">
        <f>IF(T84&gt;(F84+K84),"ERRORE","")</f>
      </c>
      <c r="Y84" s="414">
        <f>IF(U84&gt;(F84+N84),"ERRORE","")</f>
      </c>
      <c r="Z84" s="414">
        <f>IF(V84&gt;(F84+Q84),"ERRORE","")</f>
      </c>
    </row>
    <row r="85" spans="1:26" ht="30" customHeight="1" hidden="1">
      <c r="A85" s="415">
        <v>4</v>
      </c>
      <c r="B85" s="416" t="s">
        <v>678</v>
      </c>
      <c r="C85" s="429" t="s">
        <v>635</v>
      </c>
      <c r="D85" s="429" t="s">
        <v>150</v>
      </c>
      <c r="E85" s="490" t="s">
        <v>950</v>
      </c>
      <c r="F85" s="444"/>
      <c r="G85" s="444"/>
      <c r="H85" s="444"/>
      <c r="I85" s="770"/>
      <c r="J85" s="770"/>
      <c r="K85" s="770"/>
      <c r="L85" s="769"/>
      <c r="M85" s="769"/>
      <c r="N85" s="769"/>
      <c r="O85" s="419"/>
      <c r="P85" s="419"/>
      <c r="Q85" s="420"/>
      <c r="R85" s="421"/>
      <c r="S85" s="421"/>
      <c r="T85" s="813">
        <f t="shared" si="21"/>
        <v>0</v>
      </c>
      <c r="U85" s="421"/>
      <c r="V85" s="422"/>
      <c r="X85" s="414">
        <f t="shared" si="1"/>
      </c>
      <c r="Y85" s="414">
        <f t="shared" si="2"/>
      </c>
      <c r="Z85" s="414">
        <f t="shared" si="3"/>
      </c>
    </row>
    <row r="86" spans="1:26" ht="30" customHeight="1" hidden="1">
      <c r="A86" s="415">
        <v>4</v>
      </c>
      <c r="B86" s="416" t="s">
        <v>678</v>
      </c>
      <c r="C86" s="429" t="s">
        <v>636</v>
      </c>
      <c r="D86" s="429" t="s">
        <v>150</v>
      </c>
      <c r="E86" s="490" t="s">
        <v>637</v>
      </c>
      <c r="F86" s="444"/>
      <c r="G86" s="444"/>
      <c r="H86" s="444"/>
      <c r="I86" s="770"/>
      <c r="J86" s="770"/>
      <c r="K86" s="770"/>
      <c r="L86" s="769"/>
      <c r="M86" s="769"/>
      <c r="N86" s="769"/>
      <c r="O86" s="419"/>
      <c r="P86" s="419"/>
      <c r="Q86" s="420"/>
      <c r="R86" s="421"/>
      <c r="S86" s="421"/>
      <c r="T86" s="813">
        <f t="shared" si="21"/>
        <v>0</v>
      </c>
      <c r="U86" s="421"/>
      <c r="V86" s="422"/>
      <c r="X86" s="414">
        <f t="shared" si="1"/>
      </c>
      <c r="Y86" s="414">
        <f t="shared" si="2"/>
      </c>
      <c r="Z86" s="414">
        <f t="shared" si="3"/>
      </c>
    </row>
    <row r="87" spans="1:26" ht="30" customHeight="1" hidden="1">
      <c r="A87" s="415">
        <v>4</v>
      </c>
      <c r="B87" s="416" t="s">
        <v>678</v>
      </c>
      <c r="C87" s="429" t="s">
        <v>638</v>
      </c>
      <c r="D87" s="429" t="s">
        <v>150</v>
      </c>
      <c r="E87" s="490" t="s">
        <v>639</v>
      </c>
      <c r="F87" s="444"/>
      <c r="G87" s="444"/>
      <c r="H87" s="444"/>
      <c r="I87" s="770"/>
      <c r="J87" s="770"/>
      <c r="K87" s="770"/>
      <c r="L87" s="769"/>
      <c r="M87" s="769"/>
      <c r="N87" s="769"/>
      <c r="O87" s="419"/>
      <c r="P87" s="419"/>
      <c r="Q87" s="420"/>
      <c r="R87" s="421"/>
      <c r="S87" s="421"/>
      <c r="T87" s="813">
        <f t="shared" si="21"/>
        <v>0</v>
      </c>
      <c r="U87" s="421"/>
      <c r="V87" s="422"/>
      <c r="X87" s="414">
        <f t="shared" si="1"/>
      </c>
      <c r="Y87" s="414">
        <f t="shared" si="2"/>
      </c>
      <c r="Z87" s="414">
        <f t="shared" si="3"/>
      </c>
    </row>
    <row r="88" spans="1:26" ht="30" customHeight="1">
      <c r="A88" s="415">
        <v>4</v>
      </c>
      <c r="B88" s="416" t="s">
        <v>678</v>
      </c>
      <c r="C88" s="429" t="s">
        <v>928</v>
      </c>
      <c r="D88" s="429" t="s">
        <v>150</v>
      </c>
      <c r="E88" s="490" t="s">
        <v>936</v>
      </c>
      <c r="F88" s="444">
        <v>15000</v>
      </c>
      <c r="G88" s="444"/>
      <c r="H88" s="444"/>
      <c r="I88" s="770">
        <v>15000</v>
      </c>
      <c r="J88" s="770"/>
      <c r="K88" s="770"/>
      <c r="L88" s="769"/>
      <c r="M88" s="769"/>
      <c r="N88" s="769"/>
      <c r="O88" s="769"/>
      <c r="P88" s="769"/>
      <c r="Q88" s="770"/>
      <c r="R88" s="421"/>
      <c r="S88" s="421"/>
      <c r="T88" s="813">
        <f t="shared" si="21"/>
        <v>15000</v>
      </c>
      <c r="U88" s="421"/>
      <c r="V88" s="422"/>
      <c r="X88" s="414">
        <f>IF(T88&gt;(F88+K88),"ERRORE","")</f>
      </c>
      <c r="Y88" s="414">
        <f>IF(U88&gt;(F88+N88),"ERRORE","")</f>
      </c>
      <c r="Z88" s="414">
        <f>IF(V88&gt;(F88+Q88),"ERRORE","")</f>
      </c>
    </row>
    <row r="89" spans="1:26" ht="30" customHeight="1">
      <c r="A89" s="415">
        <v>4</v>
      </c>
      <c r="B89" s="416" t="s">
        <v>678</v>
      </c>
      <c r="C89" s="429" t="s">
        <v>1036</v>
      </c>
      <c r="D89" s="429" t="s">
        <v>150</v>
      </c>
      <c r="E89" s="490" t="s">
        <v>936</v>
      </c>
      <c r="F89" s="444"/>
      <c r="G89" s="444"/>
      <c r="H89" s="444"/>
      <c r="I89" s="770"/>
      <c r="J89" s="770"/>
      <c r="K89" s="770"/>
      <c r="L89" s="769"/>
      <c r="M89" s="769"/>
      <c r="N89" s="769"/>
      <c r="O89" s="769"/>
      <c r="P89" s="769"/>
      <c r="Q89" s="770"/>
      <c r="R89" s="421"/>
      <c r="S89" s="421"/>
      <c r="T89" s="813">
        <f t="shared" si="21"/>
        <v>0</v>
      </c>
      <c r="U89" s="421"/>
      <c r="V89" s="422"/>
      <c r="X89" s="414"/>
      <c r="Y89" s="414"/>
      <c r="Z89" s="414"/>
    </row>
    <row r="90" spans="1:26" ht="30" customHeight="1">
      <c r="A90" s="415">
        <v>4</v>
      </c>
      <c r="B90" s="416" t="s">
        <v>678</v>
      </c>
      <c r="C90" s="429">
        <v>978</v>
      </c>
      <c r="D90" s="429" t="s">
        <v>150</v>
      </c>
      <c r="E90" s="490" t="s">
        <v>1037</v>
      </c>
      <c r="F90" s="444">
        <v>75000</v>
      </c>
      <c r="G90" s="444"/>
      <c r="H90" s="444"/>
      <c r="I90" s="770">
        <v>50000</v>
      </c>
      <c r="J90" s="770"/>
      <c r="K90" s="770"/>
      <c r="L90" s="769"/>
      <c r="M90" s="769"/>
      <c r="N90" s="769">
        <v>420000</v>
      </c>
      <c r="O90" s="419"/>
      <c r="P90" s="419"/>
      <c r="Q90" s="420"/>
      <c r="R90" s="421"/>
      <c r="S90" s="421"/>
      <c r="T90" s="813">
        <f t="shared" si="21"/>
        <v>75000</v>
      </c>
      <c r="U90" s="421"/>
      <c r="V90" s="422"/>
      <c r="X90" s="414">
        <f t="shared" si="1"/>
      </c>
      <c r="Y90" s="414">
        <f>IF(U90&gt;(F90+N90),"ERRORE","")</f>
      </c>
      <c r="Z90" s="414">
        <f>IF(V90&gt;(F90+Q90),"ERRORE","")</f>
      </c>
    </row>
    <row r="91" spans="1:26" ht="30" customHeight="1">
      <c r="A91" s="415">
        <v>4</v>
      </c>
      <c r="B91" s="416" t="s">
        <v>678</v>
      </c>
      <c r="C91" s="429">
        <v>979</v>
      </c>
      <c r="D91" s="429" t="s">
        <v>150</v>
      </c>
      <c r="E91" s="490" t="s">
        <v>689</v>
      </c>
      <c r="F91" s="444">
        <v>25000</v>
      </c>
      <c r="G91" s="444"/>
      <c r="H91" s="444"/>
      <c r="I91" s="770"/>
      <c r="J91" s="770"/>
      <c r="K91" s="770"/>
      <c r="L91" s="769"/>
      <c r="M91" s="769"/>
      <c r="N91" s="769"/>
      <c r="O91" s="769"/>
      <c r="P91" s="769"/>
      <c r="Q91" s="770"/>
      <c r="R91" s="421"/>
      <c r="S91" s="421"/>
      <c r="T91" s="813">
        <f t="shared" si="21"/>
        <v>25000</v>
      </c>
      <c r="U91" s="421"/>
      <c r="V91" s="422"/>
      <c r="X91" s="414">
        <f t="shared" si="1"/>
      </c>
      <c r="Y91" s="414"/>
      <c r="Z91" s="414"/>
    </row>
    <row r="92" spans="1:26" ht="30" customHeight="1">
      <c r="A92" s="415">
        <v>4</v>
      </c>
      <c r="B92" s="416" t="s">
        <v>678</v>
      </c>
      <c r="C92" s="807">
        <v>980</v>
      </c>
      <c r="D92" s="429" t="s">
        <v>150</v>
      </c>
      <c r="E92" s="490" t="s">
        <v>955</v>
      </c>
      <c r="F92" s="444">
        <v>0</v>
      </c>
      <c r="G92" s="444"/>
      <c r="H92" s="444"/>
      <c r="I92" s="770"/>
      <c r="J92" s="770"/>
      <c r="K92" s="770">
        <v>234500</v>
      </c>
      <c r="L92" s="769"/>
      <c r="M92" s="769"/>
      <c r="N92" s="769"/>
      <c r="O92" s="769"/>
      <c r="P92" s="769"/>
      <c r="Q92" s="770"/>
      <c r="R92" s="421"/>
      <c r="S92" s="421"/>
      <c r="T92" s="813">
        <f t="shared" si="21"/>
        <v>234500</v>
      </c>
      <c r="U92" s="421"/>
      <c r="V92" s="422"/>
      <c r="X92" s="414">
        <f>IF(T92&gt;(F92+K92),"ERRORE","")</f>
      </c>
      <c r="Y92" s="414"/>
      <c r="Z92" s="414"/>
    </row>
    <row r="93" spans="1:26" ht="30" customHeight="1">
      <c r="A93" s="415">
        <v>4</v>
      </c>
      <c r="B93" s="416" t="s">
        <v>678</v>
      </c>
      <c r="C93" s="429">
        <v>981</v>
      </c>
      <c r="D93" s="805" t="s">
        <v>6</v>
      </c>
      <c r="E93" s="490" t="s">
        <v>920</v>
      </c>
      <c r="F93" s="444">
        <v>0</v>
      </c>
      <c r="G93" s="444"/>
      <c r="H93" s="444"/>
      <c r="I93" s="770">
        <v>50000</v>
      </c>
      <c r="J93" s="770"/>
      <c r="K93" s="770"/>
      <c r="L93" s="769"/>
      <c r="M93" s="769"/>
      <c r="N93" s="769"/>
      <c r="O93" s="769"/>
      <c r="P93" s="769"/>
      <c r="Q93" s="770"/>
      <c r="R93" s="421"/>
      <c r="S93" s="421"/>
      <c r="T93" s="813">
        <f t="shared" si="21"/>
        <v>0</v>
      </c>
      <c r="U93" s="421"/>
      <c r="V93" s="422"/>
      <c r="X93" s="414">
        <f t="shared" si="1"/>
      </c>
      <c r="Y93" s="414"/>
      <c r="Z93" s="414"/>
    </row>
    <row r="94" spans="1:26" ht="30" customHeight="1">
      <c r="A94" s="415">
        <v>4</v>
      </c>
      <c r="B94" s="416" t="s">
        <v>678</v>
      </c>
      <c r="C94" s="807">
        <v>982</v>
      </c>
      <c r="D94" s="805" t="s">
        <v>6</v>
      </c>
      <c r="E94" s="490" t="s">
        <v>963</v>
      </c>
      <c r="F94" s="444">
        <v>0</v>
      </c>
      <c r="G94" s="444"/>
      <c r="H94" s="444"/>
      <c r="I94" s="770"/>
      <c r="J94" s="770"/>
      <c r="K94" s="770"/>
      <c r="L94" s="769"/>
      <c r="M94" s="769"/>
      <c r="N94" s="769">
        <v>50000</v>
      </c>
      <c r="O94" s="769"/>
      <c r="P94" s="769"/>
      <c r="Q94" s="770"/>
      <c r="R94" s="421"/>
      <c r="S94" s="421"/>
      <c r="T94" s="813">
        <f t="shared" si="21"/>
        <v>0</v>
      </c>
      <c r="U94" s="421"/>
      <c r="V94" s="422"/>
      <c r="X94" s="414">
        <f>IF(T94&gt;(F94+K94),"ERRORE","")</f>
      </c>
      <c r="Y94" s="414"/>
      <c r="Z94" s="414"/>
    </row>
    <row r="95" spans="1:26" ht="30" customHeight="1">
      <c r="A95" s="415">
        <v>4</v>
      </c>
      <c r="B95" s="416" t="s">
        <v>678</v>
      </c>
      <c r="C95" s="429">
        <v>984</v>
      </c>
      <c r="D95" s="429" t="s">
        <v>150</v>
      </c>
      <c r="E95" s="490" t="s">
        <v>646</v>
      </c>
      <c r="F95" s="444">
        <v>183.37</v>
      </c>
      <c r="G95" s="444"/>
      <c r="H95" s="444"/>
      <c r="I95" s="770"/>
      <c r="J95" s="770"/>
      <c r="K95" s="770"/>
      <c r="L95" s="769"/>
      <c r="M95" s="769"/>
      <c r="N95" s="769"/>
      <c r="O95" s="419"/>
      <c r="P95" s="419"/>
      <c r="Q95" s="420"/>
      <c r="R95" s="421"/>
      <c r="S95" s="421"/>
      <c r="T95" s="813">
        <f t="shared" si="21"/>
        <v>183.37</v>
      </c>
      <c r="U95" s="421"/>
      <c r="V95" s="422"/>
      <c r="X95" s="414">
        <f t="shared" si="1"/>
      </c>
      <c r="Y95" s="414"/>
      <c r="Z95" s="414"/>
    </row>
    <row r="96" spans="1:26" ht="30" customHeight="1">
      <c r="A96" s="415">
        <v>4</v>
      </c>
      <c r="B96" s="416" t="s">
        <v>678</v>
      </c>
      <c r="C96" s="807">
        <v>987</v>
      </c>
      <c r="D96" s="805" t="s">
        <v>6</v>
      </c>
      <c r="E96" s="490" t="s">
        <v>572</v>
      </c>
      <c r="F96" s="444">
        <v>0</v>
      </c>
      <c r="G96" s="444"/>
      <c r="H96" s="444"/>
      <c r="I96" s="770"/>
      <c r="J96" s="770"/>
      <c r="K96" s="770"/>
      <c r="L96" s="769"/>
      <c r="M96" s="769"/>
      <c r="N96" s="769"/>
      <c r="O96" s="419"/>
      <c r="P96" s="419"/>
      <c r="Q96" s="420"/>
      <c r="R96" s="421"/>
      <c r="S96" s="421"/>
      <c r="T96" s="813">
        <f t="shared" si="21"/>
        <v>0</v>
      </c>
      <c r="U96" s="421"/>
      <c r="V96" s="422"/>
      <c r="X96" s="414">
        <f t="shared" si="1"/>
      </c>
      <c r="Y96" s="414">
        <f>IF(U96&gt;(F96+N96),"ERRORE","")</f>
      </c>
      <c r="Z96" s="414">
        <f>IF(V96&gt;(F96+Q96),"ERRORE","")</f>
      </c>
    </row>
    <row r="97" spans="1:26" ht="30" customHeight="1">
      <c r="A97" s="415">
        <v>4</v>
      </c>
      <c r="B97" s="416" t="s">
        <v>678</v>
      </c>
      <c r="C97" s="429">
        <v>988</v>
      </c>
      <c r="D97" s="443" t="s">
        <v>6</v>
      </c>
      <c r="E97" s="490" t="s">
        <v>921</v>
      </c>
      <c r="F97" s="444">
        <v>737000</v>
      </c>
      <c r="G97" s="444"/>
      <c r="H97" s="444"/>
      <c r="I97" s="770">
        <f>772000-35000</f>
        <v>737000</v>
      </c>
      <c r="J97" s="770"/>
      <c r="K97" s="770"/>
      <c r="L97" s="769"/>
      <c r="M97" s="769"/>
      <c r="N97" s="769"/>
      <c r="O97" s="769"/>
      <c r="P97" s="769"/>
      <c r="Q97" s="770"/>
      <c r="R97" s="421"/>
      <c r="S97" s="421"/>
      <c r="T97" s="813">
        <f t="shared" si="21"/>
        <v>737000</v>
      </c>
      <c r="U97" s="421"/>
      <c r="V97" s="422"/>
      <c r="X97" s="414">
        <f t="shared" si="1"/>
      </c>
      <c r="Y97" s="414"/>
      <c r="Z97" s="414"/>
    </row>
    <row r="98" spans="1:26" ht="30" customHeight="1">
      <c r="A98" s="415">
        <v>4</v>
      </c>
      <c r="B98" s="416" t="s">
        <v>678</v>
      </c>
      <c r="C98" s="417">
        <v>989</v>
      </c>
      <c r="D98" s="443" t="s">
        <v>6</v>
      </c>
      <c r="E98" s="490" t="s">
        <v>640</v>
      </c>
      <c r="F98" s="444">
        <v>0</v>
      </c>
      <c r="G98" s="444"/>
      <c r="H98" s="444"/>
      <c r="I98" s="770"/>
      <c r="J98" s="770"/>
      <c r="K98" s="770"/>
      <c r="L98" s="769"/>
      <c r="M98" s="769"/>
      <c r="N98" s="770"/>
      <c r="O98" s="769"/>
      <c r="P98" s="769"/>
      <c r="Q98" s="770"/>
      <c r="R98" s="421"/>
      <c r="S98" s="421"/>
      <c r="T98" s="813">
        <f t="shared" si="21"/>
        <v>0</v>
      </c>
      <c r="U98" s="421"/>
      <c r="V98" s="422"/>
      <c r="X98" s="414">
        <f t="shared" si="1"/>
      </c>
      <c r="Y98" s="414">
        <f t="shared" si="2"/>
      </c>
      <c r="Z98" s="414">
        <f t="shared" si="3"/>
      </c>
    </row>
    <row r="99" spans="1:26" ht="30" customHeight="1">
      <c r="A99" s="415">
        <v>4</v>
      </c>
      <c r="B99" s="416" t="s">
        <v>678</v>
      </c>
      <c r="C99" s="417">
        <v>990</v>
      </c>
      <c r="D99" s="443" t="s">
        <v>6</v>
      </c>
      <c r="E99" s="490" t="s">
        <v>690</v>
      </c>
      <c r="F99" s="444">
        <v>0</v>
      </c>
      <c r="G99" s="444"/>
      <c r="H99" s="444"/>
      <c r="I99" s="770"/>
      <c r="J99" s="770"/>
      <c r="K99" s="770"/>
      <c r="L99" s="769"/>
      <c r="M99" s="769"/>
      <c r="N99" s="769"/>
      <c r="O99" s="769"/>
      <c r="P99" s="769"/>
      <c r="Q99" s="770"/>
      <c r="R99" s="421"/>
      <c r="S99" s="421"/>
      <c r="T99" s="813">
        <f t="shared" si="21"/>
        <v>0</v>
      </c>
      <c r="U99" s="421"/>
      <c r="V99" s="422"/>
      <c r="X99" s="414">
        <f t="shared" si="1"/>
      </c>
      <c r="Y99" s="414"/>
      <c r="Z99" s="414"/>
    </row>
    <row r="100" spans="1:26" ht="30" customHeight="1">
      <c r="A100" s="415">
        <v>4</v>
      </c>
      <c r="B100" s="416" t="s">
        <v>678</v>
      </c>
      <c r="C100" s="417">
        <v>991</v>
      </c>
      <c r="D100" s="443" t="s">
        <v>6</v>
      </c>
      <c r="E100" s="490" t="s">
        <v>922</v>
      </c>
      <c r="F100" s="444">
        <v>2350000</v>
      </c>
      <c r="G100" s="444"/>
      <c r="H100" s="444"/>
      <c r="I100" s="770">
        <v>2350000</v>
      </c>
      <c r="J100" s="770"/>
      <c r="K100" s="770"/>
      <c r="L100" s="769"/>
      <c r="M100" s="769"/>
      <c r="N100" s="769"/>
      <c r="O100" s="769"/>
      <c r="P100" s="769"/>
      <c r="Q100" s="770"/>
      <c r="R100" s="421"/>
      <c r="S100" s="421"/>
      <c r="T100" s="813">
        <f t="shared" si="21"/>
        <v>2350000</v>
      </c>
      <c r="U100" s="421"/>
      <c r="V100" s="422"/>
      <c r="X100" s="414">
        <f t="shared" si="1"/>
      </c>
      <c r="Y100" s="414"/>
      <c r="Z100" s="414"/>
    </row>
    <row r="101" spans="1:26" ht="30" customHeight="1">
      <c r="A101" s="415">
        <v>4</v>
      </c>
      <c r="B101" s="416" t="s">
        <v>678</v>
      </c>
      <c r="C101" s="429" t="s">
        <v>661</v>
      </c>
      <c r="D101" s="443" t="s">
        <v>6</v>
      </c>
      <c r="E101" s="490" t="s">
        <v>1029</v>
      </c>
      <c r="F101" s="444">
        <v>0</v>
      </c>
      <c r="G101" s="444"/>
      <c r="H101" s="444"/>
      <c r="I101" s="770"/>
      <c r="J101" s="770"/>
      <c r="K101" s="770">
        <v>50000</v>
      </c>
      <c r="L101" s="769"/>
      <c r="M101" s="769"/>
      <c r="N101" s="769"/>
      <c r="O101" s="769"/>
      <c r="P101" s="769"/>
      <c r="Q101" s="770"/>
      <c r="R101" s="421"/>
      <c r="S101" s="421"/>
      <c r="T101" s="813">
        <f>F101+K101</f>
        <v>50000</v>
      </c>
      <c r="U101" s="421"/>
      <c r="V101" s="422"/>
      <c r="X101" s="414">
        <f>IF(T101&gt;(F101+K101),"ERRORE","")</f>
      </c>
      <c r="Y101" s="414"/>
      <c r="Z101" s="414"/>
    </row>
    <row r="102" spans="1:26" ht="30" customHeight="1">
      <c r="A102" s="415">
        <v>4</v>
      </c>
      <c r="B102" s="416" t="s">
        <v>678</v>
      </c>
      <c r="C102" s="429" t="s">
        <v>663</v>
      </c>
      <c r="D102" s="443" t="s">
        <v>6</v>
      </c>
      <c r="E102" s="490" t="s">
        <v>691</v>
      </c>
      <c r="F102" s="444">
        <v>0</v>
      </c>
      <c r="G102" s="444"/>
      <c r="H102" s="444"/>
      <c r="I102" s="770"/>
      <c r="J102" s="770"/>
      <c r="K102" s="770"/>
      <c r="L102" s="769"/>
      <c r="M102" s="769"/>
      <c r="N102" s="769"/>
      <c r="O102" s="769"/>
      <c r="P102" s="769"/>
      <c r="Q102" s="770"/>
      <c r="R102" s="421"/>
      <c r="S102" s="421"/>
      <c r="T102" s="813">
        <f t="shared" si="21"/>
        <v>0</v>
      </c>
      <c r="U102" s="421"/>
      <c r="V102" s="422"/>
      <c r="X102" s="414">
        <f t="shared" si="1"/>
      </c>
      <c r="Y102" s="414"/>
      <c r="Z102" s="414"/>
    </row>
    <row r="103" spans="1:26" ht="30" customHeight="1">
      <c r="A103" s="415">
        <v>4</v>
      </c>
      <c r="B103" s="416" t="s">
        <v>678</v>
      </c>
      <c r="C103" s="429" t="s">
        <v>665</v>
      </c>
      <c r="D103" s="443" t="s">
        <v>6</v>
      </c>
      <c r="E103" s="490" t="s">
        <v>923</v>
      </c>
      <c r="F103" s="444">
        <v>0</v>
      </c>
      <c r="G103" s="444"/>
      <c r="H103" s="444"/>
      <c r="I103" s="770">
        <f>50000-50000</f>
        <v>0</v>
      </c>
      <c r="J103" s="770"/>
      <c r="K103" s="770"/>
      <c r="L103" s="769"/>
      <c r="M103" s="769"/>
      <c r="N103" s="769"/>
      <c r="O103" s="769"/>
      <c r="P103" s="769"/>
      <c r="Q103" s="770"/>
      <c r="R103" s="421"/>
      <c r="S103" s="421"/>
      <c r="T103" s="813">
        <f t="shared" si="21"/>
        <v>0</v>
      </c>
      <c r="U103" s="421"/>
      <c r="V103" s="422"/>
      <c r="X103" s="414">
        <f t="shared" si="1"/>
      </c>
      <c r="Y103" s="414"/>
      <c r="Z103" s="414"/>
    </row>
    <row r="104" spans="1:26" ht="30" customHeight="1">
      <c r="A104" s="415">
        <v>4</v>
      </c>
      <c r="B104" s="416" t="s">
        <v>678</v>
      </c>
      <c r="C104" s="429">
        <v>992</v>
      </c>
      <c r="D104" s="443" t="s">
        <v>6</v>
      </c>
      <c r="E104" s="490" t="s">
        <v>692</v>
      </c>
      <c r="F104" s="444">
        <v>0</v>
      </c>
      <c r="G104" s="444"/>
      <c r="H104" s="444"/>
      <c r="I104" s="770"/>
      <c r="J104" s="770"/>
      <c r="K104" s="770"/>
      <c r="L104" s="769"/>
      <c r="M104" s="769"/>
      <c r="N104" s="769"/>
      <c r="O104" s="769"/>
      <c r="P104" s="769"/>
      <c r="Q104" s="770"/>
      <c r="R104" s="421"/>
      <c r="S104" s="421"/>
      <c r="T104" s="813">
        <f t="shared" si="21"/>
        <v>0</v>
      </c>
      <c r="U104" s="421"/>
      <c r="V104" s="422"/>
      <c r="X104" s="414">
        <f t="shared" si="1"/>
      </c>
      <c r="Y104" s="414"/>
      <c r="Z104" s="414"/>
    </row>
    <row r="105" spans="1:26" ht="30" customHeight="1">
      <c r="A105" s="415">
        <v>4</v>
      </c>
      <c r="B105" s="416" t="s">
        <v>678</v>
      </c>
      <c r="C105" s="417">
        <v>993</v>
      </c>
      <c r="D105" s="443" t="s">
        <v>6</v>
      </c>
      <c r="E105" s="490" t="s">
        <v>641</v>
      </c>
      <c r="F105" s="444">
        <v>0</v>
      </c>
      <c r="G105" s="444"/>
      <c r="H105" s="444"/>
      <c r="I105" s="881"/>
      <c r="J105" s="770"/>
      <c r="K105" s="770"/>
      <c r="L105" s="769"/>
      <c r="M105" s="769"/>
      <c r="N105" s="769"/>
      <c r="O105" s="769"/>
      <c r="P105" s="769"/>
      <c r="Q105" s="770"/>
      <c r="R105" s="421"/>
      <c r="S105" s="421"/>
      <c r="T105" s="813">
        <f t="shared" si="21"/>
        <v>0</v>
      </c>
      <c r="U105" s="421"/>
      <c r="V105" s="422"/>
      <c r="X105" s="414">
        <f t="shared" si="1"/>
      </c>
      <c r="Y105" s="414">
        <f t="shared" si="2"/>
      </c>
      <c r="Z105" s="414">
        <f t="shared" si="3"/>
      </c>
    </row>
    <row r="106" spans="1:26" ht="48.75" customHeight="1">
      <c r="A106" s="453">
        <v>4</v>
      </c>
      <c r="B106" s="454" t="s">
        <v>678</v>
      </c>
      <c r="C106" s="455">
        <v>996</v>
      </c>
      <c r="D106" s="803" t="s">
        <v>6</v>
      </c>
      <c r="E106" s="490" t="s">
        <v>1038</v>
      </c>
      <c r="F106" s="481">
        <v>0</v>
      </c>
      <c r="G106" s="481"/>
      <c r="H106" s="481"/>
      <c r="I106" s="884"/>
      <c r="J106" s="884"/>
      <c r="K106" s="884"/>
      <c r="L106" s="885"/>
      <c r="M106" s="885"/>
      <c r="N106" s="885">
        <v>160000</v>
      </c>
      <c r="O106" s="885"/>
      <c r="P106" s="885"/>
      <c r="Q106" s="884"/>
      <c r="R106" s="460"/>
      <c r="S106" s="460"/>
      <c r="T106" s="813">
        <f t="shared" si="21"/>
        <v>0</v>
      </c>
      <c r="U106" s="421"/>
      <c r="V106" s="422"/>
      <c r="X106" s="414">
        <f t="shared" si="1"/>
      </c>
      <c r="Y106" s="414">
        <f t="shared" si="2"/>
      </c>
      <c r="Z106" s="414">
        <f t="shared" si="3"/>
      </c>
    </row>
    <row r="107" spans="1:26" ht="30" customHeight="1">
      <c r="A107" s="453">
        <v>4</v>
      </c>
      <c r="B107" s="454" t="s">
        <v>678</v>
      </c>
      <c r="C107" s="455" t="s">
        <v>740</v>
      </c>
      <c r="D107" s="803" t="s">
        <v>6</v>
      </c>
      <c r="E107" s="492" t="s">
        <v>741</v>
      </c>
      <c r="F107" s="477">
        <v>0</v>
      </c>
      <c r="G107" s="477"/>
      <c r="H107" s="477"/>
      <c r="I107" s="885"/>
      <c r="J107" s="885"/>
      <c r="K107" s="885"/>
      <c r="L107" s="885"/>
      <c r="M107" s="885"/>
      <c r="N107" s="885"/>
      <c r="O107" s="885"/>
      <c r="P107" s="885"/>
      <c r="Q107" s="884"/>
      <c r="R107" s="460"/>
      <c r="S107" s="460"/>
      <c r="T107" s="813">
        <f t="shared" si="21"/>
        <v>0</v>
      </c>
      <c r="U107" s="460"/>
      <c r="V107" s="491"/>
      <c r="X107" s="414">
        <f t="shared" si="1"/>
      </c>
      <c r="Y107" s="414"/>
      <c r="Z107" s="414"/>
    </row>
    <row r="108" spans="1:26" ht="45" customHeight="1">
      <c r="A108" s="453">
        <v>4</v>
      </c>
      <c r="B108" s="454" t="s">
        <v>678</v>
      </c>
      <c r="C108" s="803" t="s">
        <v>953</v>
      </c>
      <c r="D108" s="803" t="s">
        <v>6</v>
      </c>
      <c r="E108" s="490" t="s">
        <v>1038</v>
      </c>
      <c r="F108" s="477">
        <v>0</v>
      </c>
      <c r="G108" s="477"/>
      <c r="H108" s="477"/>
      <c r="I108" s="885"/>
      <c r="J108" s="885"/>
      <c r="K108" s="885"/>
      <c r="L108" s="885"/>
      <c r="M108" s="885"/>
      <c r="N108" s="885">
        <v>160000</v>
      </c>
      <c r="O108" s="885"/>
      <c r="P108" s="885"/>
      <c r="Q108" s="884"/>
      <c r="R108" s="460"/>
      <c r="S108" s="460"/>
      <c r="T108" s="813">
        <f t="shared" si="21"/>
        <v>0</v>
      </c>
      <c r="U108" s="460"/>
      <c r="V108" s="491"/>
      <c r="X108" s="414">
        <f>IF(T108&gt;(F108+K108),"ERRORE","")</f>
      </c>
      <c r="Y108" s="414"/>
      <c r="Z108" s="414"/>
    </row>
    <row r="109" spans="1:26" ht="30" customHeight="1">
      <c r="A109" s="453">
        <v>4</v>
      </c>
      <c r="B109" s="454" t="s">
        <v>678</v>
      </c>
      <c r="C109" s="455">
        <v>999</v>
      </c>
      <c r="D109" s="803" t="s">
        <v>6</v>
      </c>
      <c r="E109" s="492" t="s">
        <v>693</v>
      </c>
      <c r="F109" s="477">
        <v>0</v>
      </c>
      <c r="G109" s="477"/>
      <c r="H109" s="477"/>
      <c r="I109" s="885"/>
      <c r="J109" s="885"/>
      <c r="K109" s="885"/>
      <c r="L109" s="885"/>
      <c r="M109" s="885"/>
      <c r="N109" s="885"/>
      <c r="O109" s="885"/>
      <c r="P109" s="885"/>
      <c r="Q109" s="884"/>
      <c r="R109" s="460"/>
      <c r="S109" s="460"/>
      <c r="T109" s="813">
        <f t="shared" si="21"/>
        <v>0</v>
      </c>
      <c r="U109" s="460"/>
      <c r="V109" s="491"/>
      <c r="X109" s="414">
        <f t="shared" si="1"/>
      </c>
      <c r="Y109" s="414"/>
      <c r="Z109" s="414"/>
    </row>
    <row r="110" spans="1:26" ht="30" customHeight="1">
      <c r="A110" s="453">
        <v>4</v>
      </c>
      <c r="B110" s="454" t="s">
        <v>678</v>
      </c>
      <c r="C110" s="455">
        <v>1000</v>
      </c>
      <c r="D110" s="803" t="s">
        <v>6</v>
      </c>
      <c r="E110" s="492" t="s">
        <v>653</v>
      </c>
      <c r="F110" s="477">
        <v>25000</v>
      </c>
      <c r="G110" s="477"/>
      <c r="H110" s="477"/>
      <c r="I110" s="885"/>
      <c r="J110" s="885"/>
      <c r="K110" s="885"/>
      <c r="L110" s="885"/>
      <c r="M110" s="885"/>
      <c r="N110" s="885"/>
      <c r="O110" s="885"/>
      <c r="P110" s="885"/>
      <c r="Q110" s="884"/>
      <c r="R110" s="460"/>
      <c r="S110" s="460"/>
      <c r="T110" s="813">
        <f t="shared" si="21"/>
        <v>25000</v>
      </c>
      <c r="U110" s="460"/>
      <c r="V110" s="491"/>
      <c r="X110" s="414">
        <f t="shared" si="1"/>
      </c>
      <c r="Y110" s="414"/>
      <c r="Z110" s="414"/>
    </row>
    <row r="111" spans="1:26" ht="30" customHeight="1">
      <c r="A111" s="453">
        <v>4</v>
      </c>
      <c r="B111" s="454" t="s">
        <v>678</v>
      </c>
      <c r="C111" s="480">
        <v>1001</v>
      </c>
      <c r="D111" s="803" t="s">
        <v>6</v>
      </c>
      <c r="E111" s="476" t="s">
        <v>642</v>
      </c>
      <c r="F111" s="458">
        <v>854</v>
      </c>
      <c r="G111" s="458"/>
      <c r="H111" s="458"/>
      <c r="I111" s="885"/>
      <c r="J111" s="885"/>
      <c r="K111" s="885"/>
      <c r="L111" s="885"/>
      <c r="M111" s="885"/>
      <c r="N111" s="885"/>
      <c r="O111" s="458"/>
      <c r="P111" s="458"/>
      <c r="Q111" s="459"/>
      <c r="R111" s="460"/>
      <c r="S111" s="460"/>
      <c r="T111" s="813">
        <f t="shared" si="21"/>
        <v>854</v>
      </c>
      <c r="U111" s="460"/>
      <c r="V111" s="491"/>
      <c r="X111" s="414">
        <f t="shared" si="1"/>
      </c>
      <c r="Y111" s="414">
        <f t="shared" si="2"/>
      </c>
      <c r="Z111" s="414">
        <f t="shared" si="3"/>
      </c>
    </row>
    <row r="112" spans="1:26" ht="30" customHeight="1">
      <c r="A112" s="453">
        <v>4</v>
      </c>
      <c r="B112" s="454" t="s">
        <v>678</v>
      </c>
      <c r="C112" s="803" t="s">
        <v>661</v>
      </c>
      <c r="D112" s="803" t="s">
        <v>6</v>
      </c>
      <c r="E112" s="476" t="s">
        <v>658</v>
      </c>
      <c r="F112" s="458">
        <v>0</v>
      </c>
      <c r="G112" s="458"/>
      <c r="H112" s="458"/>
      <c r="I112" s="885"/>
      <c r="J112" s="885"/>
      <c r="K112" s="885"/>
      <c r="L112" s="885"/>
      <c r="M112" s="885"/>
      <c r="N112" s="885"/>
      <c r="O112" s="458"/>
      <c r="P112" s="458"/>
      <c r="Q112" s="884"/>
      <c r="R112" s="460"/>
      <c r="S112" s="460"/>
      <c r="T112" s="813">
        <f t="shared" si="21"/>
        <v>0</v>
      </c>
      <c r="U112" s="460"/>
      <c r="V112" s="491"/>
      <c r="X112" s="414">
        <f aca="true" t="shared" si="22" ref="X112:X165">IF(T112&gt;(F112+K112),"ERRORE","")</f>
      </c>
      <c r="Y112" s="414">
        <f aca="true" t="shared" si="23" ref="Y112:Y165">IF(U112&gt;(F112+N112),"ERRORE","")</f>
      </c>
      <c r="Z112" s="414">
        <f aca="true" t="shared" si="24" ref="Z112:Z165">IF(V112&gt;(F112+Q112),"ERRORE","")</f>
      </c>
    </row>
    <row r="113" spans="1:26" ht="30" customHeight="1">
      <c r="A113" s="453">
        <v>4</v>
      </c>
      <c r="B113" s="454" t="s">
        <v>678</v>
      </c>
      <c r="C113" s="803" t="s">
        <v>662</v>
      </c>
      <c r="D113" s="803" t="s">
        <v>6</v>
      </c>
      <c r="E113" s="476" t="s">
        <v>659</v>
      </c>
      <c r="F113" s="458">
        <v>0</v>
      </c>
      <c r="G113" s="458"/>
      <c r="H113" s="458"/>
      <c r="I113" s="885"/>
      <c r="J113" s="885"/>
      <c r="K113" s="885"/>
      <c r="L113" s="885"/>
      <c r="M113" s="885"/>
      <c r="N113" s="885"/>
      <c r="O113" s="458"/>
      <c r="P113" s="458"/>
      <c r="Q113" s="459"/>
      <c r="R113" s="460"/>
      <c r="S113" s="460"/>
      <c r="T113" s="813">
        <f t="shared" si="21"/>
        <v>0</v>
      </c>
      <c r="U113" s="460"/>
      <c r="V113" s="491"/>
      <c r="X113" s="414">
        <f t="shared" si="22"/>
      </c>
      <c r="Y113" s="414">
        <f t="shared" si="23"/>
      </c>
      <c r="Z113" s="414">
        <f t="shared" si="24"/>
      </c>
    </row>
    <row r="114" spans="1:26" ht="30" customHeight="1">
      <c r="A114" s="453">
        <v>4</v>
      </c>
      <c r="B114" s="454" t="s">
        <v>678</v>
      </c>
      <c r="C114" s="803" t="s">
        <v>664</v>
      </c>
      <c r="D114" s="803" t="s">
        <v>6</v>
      </c>
      <c r="E114" s="476" t="s">
        <v>660</v>
      </c>
      <c r="F114" s="458">
        <v>0</v>
      </c>
      <c r="G114" s="458"/>
      <c r="H114" s="458"/>
      <c r="I114" s="885"/>
      <c r="J114" s="885"/>
      <c r="K114" s="885"/>
      <c r="L114" s="885"/>
      <c r="M114" s="885"/>
      <c r="N114" s="885"/>
      <c r="O114" s="458"/>
      <c r="P114" s="458"/>
      <c r="Q114" s="459"/>
      <c r="R114" s="460"/>
      <c r="S114" s="460"/>
      <c r="T114" s="813">
        <f t="shared" si="21"/>
        <v>0</v>
      </c>
      <c r="U114" s="460"/>
      <c r="V114" s="491"/>
      <c r="X114" s="414">
        <f t="shared" si="22"/>
      </c>
      <c r="Y114" s="414"/>
      <c r="Z114" s="414"/>
    </row>
    <row r="115" spans="1:26" ht="30" customHeight="1">
      <c r="A115" s="453">
        <v>4</v>
      </c>
      <c r="B115" s="454" t="s">
        <v>678</v>
      </c>
      <c r="C115" s="803">
        <v>1004</v>
      </c>
      <c r="D115" s="803" t="s">
        <v>6</v>
      </c>
      <c r="E115" s="492" t="s">
        <v>924</v>
      </c>
      <c r="F115" s="458">
        <v>318500</v>
      </c>
      <c r="G115" s="458"/>
      <c r="H115" s="458"/>
      <c r="I115" s="885">
        <v>318500</v>
      </c>
      <c r="J115" s="885"/>
      <c r="K115" s="885"/>
      <c r="L115" s="885"/>
      <c r="M115" s="885"/>
      <c r="N115" s="885"/>
      <c r="O115" s="458"/>
      <c r="P115" s="458"/>
      <c r="Q115" s="459"/>
      <c r="R115" s="460"/>
      <c r="S115" s="460"/>
      <c r="T115" s="813">
        <f t="shared" si="21"/>
        <v>318500</v>
      </c>
      <c r="U115" s="460"/>
      <c r="V115" s="491"/>
      <c r="X115" s="414">
        <f t="shared" si="22"/>
      </c>
      <c r="Y115" s="414"/>
      <c r="Z115" s="414"/>
    </row>
    <row r="116" spans="1:26" ht="30" customHeight="1">
      <c r="A116" s="453">
        <v>4</v>
      </c>
      <c r="B116" s="454" t="s">
        <v>678</v>
      </c>
      <c r="C116" s="803">
        <v>1005</v>
      </c>
      <c r="D116" s="803" t="s">
        <v>6</v>
      </c>
      <c r="E116" s="492" t="s">
        <v>949</v>
      </c>
      <c r="F116" s="458">
        <v>0</v>
      </c>
      <c r="G116" s="458"/>
      <c r="H116" s="458"/>
      <c r="I116" s="885">
        <v>12000</v>
      </c>
      <c r="J116" s="885"/>
      <c r="K116" s="885"/>
      <c r="L116" s="885"/>
      <c r="M116" s="885"/>
      <c r="N116" s="885"/>
      <c r="O116" s="458"/>
      <c r="P116" s="458"/>
      <c r="Q116" s="459"/>
      <c r="R116" s="460"/>
      <c r="S116" s="460"/>
      <c r="T116" s="813">
        <f t="shared" si="21"/>
        <v>0</v>
      </c>
      <c r="U116" s="460"/>
      <c r="V116" s="491"/>
      <c r="X116" s="414">
        <f>IF(T116&gt;(F116+K116),"ERRORE","")</f>
      </c>
      <c r="Y116" s="414"/>
      <c r="Z116" s="414"/>
    </row>
    <row r="117" spans="1:26" ht="30" customHeight="1" thickBot="1">
      <c r="A117" s="453">
        <v>4</v>
      </c>
      <c r="B117" s="454" t="s">
        <v>678</v>
      </c>
      <c r="C117" s="803">
        <v>1006</v>
      </c>
      <c r="D117" s="803" t="s">
        <v>6</v>
      </c>
      <c r="E117" s="492" t="s">
        <v>962</v>
      </c>
      <c r="F117" s="458">
        <v>0</v>
      </c>
      <c r="G117" s="458"/>
      <c r="H117" s="458"/>
      <c r="I117" s="885">
        <v>100000</v>
      </c>
      <c r="J117" s="885"/>
      <c r="K117" s="885"/>
      <c r="L117" s="885"/>
      <c r="M117" s="885"/>
      <c r="N117" s="885"/>
      <c r="O117" s="458"/>
      <c r="P117" s="458"/>
      <c r="Q117" s="459"/>
      <c r="R117" s="460"/>
      <c r="S117" s="460"/>
      <c r="T117" s="813">
        <f t="shared" si="21"/>
        <v>0</v>
      </c>
      <c r="U117" s="460"/>
      <c r="V117" s="491"/>
      <c r="X117" s="414">
        <f>IF(T117&gt;(F117+K117),"ERRORE","")</f>
      </c>
      <c r="Y117" s="414"/>
      <c r="Z117" s="414"/>
    </row>
    <row r="118" spans="1:26" ht="30" customHeight="1" hidden="1">
      <c r="A118" s="453">
        <v>4</v>
      </c>
      <c r="B118" s="454" t="s">
        <v>678</v>
      </c>
      <c r="C118" s="455">
        <v>1061</v>
      </c>
      <c r="D118" s="455" t="s">
        <v>6</v>
      </c>
      <c r="E118" s="492" t="s">
        <v>656</v>
      </c>
      <c r="F118" s="481"/>
      <c r="G118" s="481"/>
      <c r="H118" s="481"/>
      <c r="I118" s="884"/>
      <c r="J118" s="884"/>
      <c r="K118" s="884"/>
      <c r="L118" s="885"/>
      <c r="M118" s="885"/>
      <c r="N118" s="885"/>
      <c r="O118" s="458"/>
      <c r="P118" s="458"/>
      <c r="Q118" s="459"/>
      <c r="R118" s="460"/>
      <c r="S118" s="460"/>
      <c r="T118" s="772"/>
      <c r="U118" s="421"/>
      <c r="V118" s="422"/>
      <c r="X118" s="414">
        <f t="shared" si="22"/>
      </c>
      <c r="Y118" s="414">
        <f t="shared" si="23"/>
      </c>
      <c r="Z118" s="414">
        <f t="shared" si="24"/>
      </c>
    </row>
    <row r="119" spans="1:26" ht="30" customHeight="1" hidden="1">
      <c r="A119" s="453">
        <v>4</v>
      </c>
      <c r="B119" s="454" t="s">
        <v>678</v>
      </c>
      <c r="C119" s="455">
        <v>1067</v>
      </c>
      <c r="D119" s="455" t="s">
        <v>6</v>
      </c>
      <c r="E119" s="492" t="s">
        <v>742</v>
      </c>
      <c r="F119" s="481"/>
      <c r="G119" s="481"/>
      <c r="H119" s="481"/>
      <c r="I119" s="884"/>
      <c r="J119" s="884"/>
      <c r="K119" s="884"/>
      <c r="L119" s="885"/>
      <c r="M119" s="885"/>
      <c r="N119" s="885"/>
      <c r="O119" s="458"/>
      <c r="P119" s="458"/>
      <c r="Q119" s="459"/>
      <c r="R119" s="460"/>
      <c r="S119" s="460"/>
      <c r="T119" s="772"/>
      <c r="U119" s="460"/>
      <c r="V119" s="491"/>
      <c r="X119" s="414">
        <f t="shared" si="22"/>
      </c>
      <c r="Y119" s="414"/>
      <c r="Z119" s="414"/>
    </row>
    <row r="120" spans="1:26" ht="30" customHeight="1" hidden="1" thickBot="1">
      <c r="A120" s="493">
        <v>4</v>
      </c>
      <c r="B120" s="494" t="s">
        <v>678</v>
      </c>
      <c r="C120" s="495" t="s">
        <v>738</v>
      </c>
      <c r="D120" s="455" t="s">
        <v>6</v>
      </c>
      <c r="E120" s="492" t="s">
        <v>739</v>
      </c>
      <c r="F120" s="481"/>
      <c r="G120" s="481"/>
      <c r="H120" s="481"/>
      <c r="I120" s="884"/>
      <c r="J120" s="884"/>
      <c r="K120" s="884"/>
      <c r="L120" s="885"/>
      <c r="M120" s="885"/>
      <c r="N120" s="885"/>
      <c r="O120" s="458"/>
      <c r="P120" s="458"/>
      <c r="Q120" s="459"/>
      <c r="R120" s="460"/>
      <c r="S120" s="460"/>
      <c r="T120" s="772"/>
      <c r="U120" s="460"/>
      <c r="V120" s="491"/>
      <c r="X120" s="414">
        <f t="shared" si="22"/>
      </c>
      <c r="Y120" s="414">
        <f t="shared" si="23"/>
      </c>
      <c r="Z120" s="414">
        <f t="shared" si="24"/>
      </c>
    </row>
    <row r="121" spans="1:26" s="464" customFormat="1" ht="30" customHeight="1" thickBot="1">
      <c r="A121" s="1307" t="s">
        <v>623</v>
      </c>
      <c r="B121" s="1308"/>
      <c r="C121" s="1308"/>
      <c r="D121" s="1308"/>
      <c r="E121" s="1309"/>
      <c r="F121" s="496">
        <f aca="true" t="shared" si="25" ref="F121:V121">SUM(F82:F120)</f>
        <v>3546537.37</v>
      </c>
      <c r="G121" s="496">
        <f t="shared" si="25"/>
        <v>0</v>
      </c>
      <c r="H121" s="496">
        <f t="shared" si="25"/>
        <v>0</v>
      </c>
      <c r="I121" s="892">
        <f t="shared" si="25"/>
        <v>3701505</v>
      </c>
      <c r="J121" s="892">
        <f t="shared" si="25"/>
        <v>0</v>
      </c>
      <c r="K121" s="892">
        <f t="shared" si="25"/>
        <v>284500</v>
      </c>
      <c r="L121" s="892">
        <f t="shared" si="25"/>
        <v>0</v>
      </c>
      <c r="M121" s="892">
        <f t="shared" si="25"/>
        <v>0</v>
      </c>
      <c r="N121" s="892">
        <f t="shared" si="25"/>
        <v>790000</v>
      </c>
      <c r="O121" s="425">
        <f t="shared" si="25"/>
        <v>0</v>
      </c>
      <c r="P121" s="425">
        <f t="shared" si="25"/>
        <v>0</v>
      </c>
      <c r="Q121" s="425">
        <f t="shared" si="25"/>
        <v>0</v>
      </c>
      <c r="R121" s="425">
        <f t="shared" si="25"/>
        <v>0</v>
      </c>
      <c r="S121" s="425">
        <f t="shared" si="25"/>
        <v>0</v>
      </c>
      <c r="T121" s="814">
        <f t="shared" si="25"/>
        <v>3831037.37</v>
      </c>
      <c r="U121" s="462">
        <f t="shared" si="25"/>
        <v>0</v>
      </c>
      <c r="V121" s="428">
        <f t="shared" si="25"/>
        <v>0</v>
      </c>
      <c r="X121" s="414">
        <f t="shared" si="22"/>
      </c>
      <c r="Y121" s="414">
        <f t="shared" si="23"/>
      </c>
      <c r="Z121" s="414">
        <f t="shared" si="24"/>
      </c>
    </row>
    <row r="122" spans="1:26" ht="30" customHeight="1" hidden="1" thickBot="1">
      <c r="A122" s="469">
        <v>4</v>
      </c>
      <c r="B122" s="470" t="s">
        <v>19</v>
      </c>
      <c r="C122" s="471">
        <v>1049</v>
      </c>
      <c r="D122" s="455" t="s">
        <v>88</v>
      </c>
      <c r="E122" s="457" t="s">
        <v>438</v>
      </c>
      <c r="F122" s="458"/>
      <c r="G122" s="458"/>
      <c r="H122" s="458"/>
      <c r="I122" s="885"/>
      <c r="J122" s="885"/>
      <c r="K122" s="885"/>
      <c r="L122" s="885"/>
      <c r="M122" s="885"/>
      <c r="N122" s="885"/>
      <c r="O122" s="458"/>
      <c r="P122" s="458"/>
      <c r="Q122" s="459"/>
      <c r="R122" s="460"/>
      <c r="S122" s="460"/>
      <c r="T122" s="818"/>
      <c r="U122" s="460"/>
      <c r="V122" s="491"/>
      <c r="X122" s="414">
        <f>IF(T122&gt;(F122+K122),"ERRORE","")</f>
      </c>
      <c r="Y122" s="414">
        <f>IF(U122&gt;(F122+N122),"ERRORE","")</f>
      </c>
      <c r="Z122" s="414">
        <f>IF(V122&gt;(F122+Q122),"ERRORE","")</f>
      </c>
    </row>
    <row r="123" spans="1:26" s="464" customFormat="1" ht="30" customHeight="1" hidden="1" thickBot="1">
      <c r="A123" s="1307" t="s">
        <v>929</v>
      </c>
      <c r="B123" s="1308"/>
      <c r="C123" s="1308"/>
      <c r="D123" s="1308"/>
      <c r="E123" s="1309"/>
      <c r="F123" s="427"/>
      <c r="G123" s="427"/>
      <c r="H123" s="427"/>
      <c r="I123" s="892">
        <f>SUM(I122)</f>
        <v>0</v>
      </c>
      <c r="J123" s="892">
        <f>SUM(J122)</f>
        <v>0</v>
      </c>
      <c r="K123" s="892">
        <f>SUM(K122)</f>
        <v>0</v>
      </c>
      <c r="L123" s="892">
        <f aca="true" t="shared" si="26" ref="L123:V123">SUM(L122)</f>
        <v>0</v>
      </c>
      <c r="M123" s="892">
        <f t="shared" si="26"/>
        <v>0</v>
      </c>
      <c r="N123" s="892">
        <f t="shared" si="26"/>
        <v>0</v>
      </c>
      <c r="O123" s="496">
        <f t="shared" si="26"/>
        <v>0</v>
      </c>
      <c r="P123" s="496">
        <f t="shared" si="26"/>
        <v>0</v>
      </c>
      <c r="Q123" s="496">
        <f t="shared" si="26"/>
        <v>0</v>
      </c>
      <c r="R123" s="496">
        <f t="shared" si="26"/>
        <v>0</v>
      </c>
      <c r="S123" s="496">
        <f t="shared" si="26"/>
        <v>0</v>
      </c>
      <c r="T123" s="814">
        <f t="shared" si="26"/>
        <v>0</v>
      </c>
      <c r="U123" s="462">
        <f t="shared" si="26"/>
        <v>0</v>
      </c>
      <c r="V123" s="428">
        <f t="shared" si="26"/>
        <v>0</v>
      </c>
      <c r="X123" s="414">
        <f>IF(T123&gt;(F123+K123),"ERRORE","")</f>
      </c>
      <c r="Y123" s="414">
        <f>IF(U123&gt;(F123+N123),"ERRORE","")</f>
      </c>
      <c r="Z123" s="414">
        <f>IF(V123&gt;(F123+Q123),"ERRORE","")</f>
      </c>
    </row>
    <row r="124" spans="1:26" ht="30" customHeight="1" hidden="1" thickBot="1">
      <c r="A124" s="469">
        <v>4</v>
      </c>
      <c r="B124" s="470" t="s">
        <v>930</v>
      </c>
      <c r="C124" s="1227">
        <v>1068</v>
      </c>
      <c r="D124" s="455" t="s">
        <v>931</v>
      </c>
      <c r="E124" s="476" t="s">
        <v>945</v>
      </c>
      <c r="F124" s="458">
        <v>0</v>
      </c>
      <c r="G124" s="458"/>
      <c r="H124" s="458"/>
      <c r="I124" s="885"/>
      <c r="J124" s="885"/>
      <c r="K124" s="885"/>
      <c r="L124" s="885"/>
      <c r="M124" s="885"/>
      <c r="N124" s="885"/>
      <c r="O124" s="458"/>
      <c r="P124" s="458"/>
      <c r="Q124" s="459"/>
      <c r="R124" s="460"/>
      <c r="S124" s="460"/>
      <c r="T124" s="818">
        <f>F124+K124</f>
        <v>0</v>
      </c>
      <c r="U124" s="460"/>
      <c r="V124" s="491"/>
      <c r="X124" s="414">
        <f t="shared" si="22"/>
      </c>
      <c r="Y124" s="414">
        <f t="shared" si="23"/>
      </c>
      <c r="Z124" s="414">
        <f t="shared" si="24"/>
      </c>
    </row>
    <row r="125" spans="1:26" s="464" customFormat="1" ht="30" customHeight="1" hidden="1" thickBot="1">
      <c r="A125" s="1307" t="s">
        <v>929</v>
      </c>
      <c r="B125" s="1308"/>
      <c r="C125" s="1308"/>
      <c r="D125" s="1308"/>
      <c r="E125" s="1309"/>
      <c r="F125" s="427"/>
      <c r="G125" s="427"/>
      <c r="H125" s="427"/>
      <c r="I125" s="892">
        <f>SUM(I124)</f>
        <v>0</v>
      </c>
      <c r="J125" s="892">
        <f>SUM(J124)</f>
        <v>0</v>
      </c>
      <c r="K125" s="892">
        <f>SUM(K124)</f>
        <v>0</v>
      </c>
      <c r="L125" s="892">
        <f aca="true" t="shared" si="27" ref="L125:V125">SUM(L124)</f>
        <v>0</v>
      </c>
      <c r="M125" s="892">
        <f t="shared" si="27"/>
        <v>0</v>
      </c>
      <c r="N125" s="892">
        <f t="shared" si="27"/>
        <v>0</v>
      </c>
      <c r="O125" s="496">
        <f t="shared" si="27"/>
        <v>0</v>
      </c>
      <c r="P125" s="496">
        <f t="shared" si="27"/>
        <v>0</v>
      </c>
      <c r="Q125" s="496">
        <f t="shared" si="27"/>
        <v>0</v>
      </c>
      <c r="R125" s="496">
        <f t="shared" si="27"/>
        <v>0</v>
      </c>
      <c r="S125" s="496">
        <f t="shared" si="27"/>
        <v>0</v>
      </c>
      <c r="T125" s="814">
        <f t="shared" si="27"/>
        <v>0</v>
      </c>
      <c r="U125" s="462">
        <f t="shared" si="27"/>
        <v>0</v>
      </c>
      <c r="V125" s="428">
        <f t="shared" si="27"/>
        <v>0</v>
      </c>
      <c r="X125" s="414">
        <f t="shared" si="22"/>
      </c>
      <c r="Y125" s="414">
        <f t="shared" si="23"/>
      </c>
      <c r="Z125" s="414">
        <f t="shared" si="24"/>
      </c>
    </row>
    <row r="126" spans="1:26" ht="30" customHeight="1" thickBot="1">
      <c r="A126" s="497">
        <v>4</v>
      </c>
      <c r="B126" s="498" t="s">
        <v>433</v>
      </c>
      <c r="C126" s="499">
        <v>1050</v>
      </c>
      <c r="D126" s="455" t="s">
        <v>89</v>
      </c>
      <c r="E126" s="457" t="s">
        <v>203</v>
      </c>
      <c r="F126" s="458">
        <v>72016.53</v>
      </c>
      <c r="G126" s="458"/>
      <c r="H126" s="458"/>
      <c r="I126" s="885">
        <f>240000+223500</f>
        <v>463500</v>
      </c>
      <c r="J126" s="885"/>
      <c r="K126" s="885">
        <v>560000</v>
      </c>
      <c r="L126" s="885"/>
      <c r="M126" s="885"/>
      <c r="N126" s="884">
        <v>405000</v>
      </c>
      <c r="O126" s="885"/>
      <c r="P126" s="885"/>
      <c r="Q126" s="884">
        <v>250000</v>
      </c>
      <c r="R126" s="460"/>
      <c r="S126" s="460"/>
      <c r="T126" s="818">
        <f>F126+K126</f>
        <v>632016.53</v>
      </c>
      <c r="U126" s="460"/>
      <c r="V126" s="491"/>
      <c r="X126" s="414">
        <f t="shared" si="22"/>
      </c>
      <c r="Y126" s="414">
        <f t="shared" si="23"/>
      </c>
      <c r="Z126" s="414">
        <f t="shared" si="24"/>
      </c>
    </row>
    <row r="127" spans="1:26" s="464" customFormat="1" ht="30" customHeight="1" thickBot="1">
      <c r="A127" s="1307" t="s">
        <v>619</v>
      </c>
      <c r="B127" s="1308"/>
      <c r="C127" s="1308"/>
      <c r="D127" s="1308"/>
      <c r="E127" s="1309"/>
      <c r="F127" s="500">
        <f aca="true" t="shared" si="28" ref="F127:V127">SUM(F126:F126)</f>
        <v>72016.53</v>
      </c>
      <c r="G127" s="500">
        <f t="shared" si="28"/>
        <v>0</v>
      </c>
      <c r="H127" s="500">
        <f t="shared" si="28"/>
        <v>0</v>
      </c>
      <c r="I127" s="893">
        <f t="shared" si="28"/>
        <v>463500</v>
      </c>
      <c r="J127" s="893">
        <f t="shared" si="28"/>
        <v>0</v>
      </c>
      <c r="K127" s="893">
        <f t="shared" si="28"/>
        <v>560000</v>
      </c>
      <c r="L127" s="893">
        <f t="shared" si="28"/>
        <v>0</v>
      </c>
      <c r="M127" s="893">
        <f t="shared" si="28"/>
        <v>0</v>
      </c>
      <c r="N127" s="893">
        <f t="shared" si="28"/>
        <v>405000</v>
      </c>
      <c r="O127" s="501">
        <f t="shared" si="28"/>
        <v>0</v>
      </c>
      <c r="P127" s="501">
        <f t="shared" si="28"/>
        <v>0</v>
      </c>
      <c r="Q127" s="501">
        <f t="shared" si="28"/>
        <v>250000</v>
      </c>
      <c r="R127" s="501">
        <f t="shared" si="28"/>
        <v>0</v>
      </c>
      <c r="S127" s="501">
        <f t="shared" si="28"/>
        <v>0</v>
      </c>
      <c r="T127" s="814">
        <f t="shared" si="28"/>
        <v>632016.53</v>
      </c>
      <c r="U127" s="427">
        <f t="shared" si="28"/>
        <v>0</v>
      </c>
      <c r="V127" s="428">
        <f t="shared" si="28"/>
        <v>0</v>
      </c>
      <c r="X127" s="414">
        <f t="shared" si="22"/>
      </c>
      <c r="Y127" s="414">
        <f t="shared" si="23"/>
      </c>
      <c r="Z127" s="414">
        <f t="shared" si="24"/>
      </c>
    </row>
    <row r="128" spans="1:26" s="433" customFormat="1" ht="30" customHeight="1" thickBot="1">
      <c r="A128" s="1313" t="s">
        <v>20</v>
      </c>
      <c r="B128" s="1314"/>
      <c r="C128" s="1314"/>
      <c r="D128" s="1314"/>
      <c r="E128" s="1314"/>
      <c r="F128" s="1062">
        <f>F121+F125+F127</f>
        <v>3618553.9</v>
      </c>
      <c r="G128" s="1062">
        <f>G121+G125+G127</f>
        <v>0</v>
      </c>
      <c r="H128" s="1062">
        <f>H121+H125+H127</f>
        <v>0</v>
      </c>
      <c r="I128" s="1062">
        <f>I121+I123+I125+I127</f>
        <v>4165005</v>
      </c>
      <c r="J128" s="1062">
        <f aca="true" t="shared" si="29" ref="J128:V128">J121+J125+J127</f>
        <v>0</v>
      </c>
      <c r="K128" s="1062">
        <f t="shared" si="29"/>
        <v>844500</v>
      </c>
      <c r="L128" s="1062">
        <f t="shared" si="29"/>
        <v>0</v>
      </c>
      <c r="M128" s="1062">
        <f t="shared" si="29"/>
        <v>0</v>
      </c>
      <c r="N128" s="1062">
        <f t="shared" si="29"/>
        <v>1195000</v>
      </c>
      <c r="O128" s="1062">
        <f t="shared" si="29"/>
        <v>0</v>
      </c>
      <c r="P128" s="1062">
        <f t="shared" si="29"/>
        <v>0</v>
      </c>
      <c r="Q128" s="1062">
        <f t="shared" si="29"/>
        <v>250000</v>
      </c>
      <c r="R128" s="1062">
        <f t="shared" si="29"/>
        <v>0</v>
      </c>
      <c r="S128" s="1062">
        <f t="shared" si="29"/>
        <v>0</v>
      </c>
      <c r="T128" s="1066">
        <f t="shared" si="29"/>
        <v>4463053.9</v>
      </c>
      <c r="U128" s="502">
        <f t="shared" si="29"/>
        <v>0</v>
      </c>
      <c r="V128" s="432">
        <f t="shared" si="29"/>
        <v>0</v>
      </c>
      <c r="X128" s="414">
        <f t="shared" si="22"/>
      </c>
      <c r="Y128" s="414">
        <f t="shared" si="23"/>
      </c>
      <c r="Z128" s="414">
        <f t="shared" si="24"/>
      </c>
    </row>
    <row r="129" spans="1:26" s="433" customFormat="1" ht="30" customHeight="1" thickBot="1">
      <c r="A129" s="503"/>
      <c r="B129" s="504"/>
      <c r="C129" s="504"/>
      <c r="D129" s="504"/>
      <c r="E129" s="504"/>
      <c r="F129" s="505"/>
      <c r="G129" s="505"/>
      <c r="H129" s="505"/>
      <c r="I129" s="819"/>
      <c r="J129" s="819"/>
      <c r="K129" s="819"/>
      <c r="L129" s="819"/>
      <c r="M129" s="819"/>
      <c r="N129" s="819"/>
      <c r="O129" s="505"/>
      <c r="P129" s="505"/>
      <c r="Q129" s="505"/>
      <c r="R129" s="505"/>
      <c r="S129" s="505"/>
      <c r="T129" s="819"/>
      <c r="U129" s="505"/>
      <c r="V129" s="505"/>
      <c r="X129" s="414"/>
      <c r="Y129" s="414">
        <f t="shared" si="23"/>
      </c>
      <c r="Z129" s="414">
        <f t="shared" si="24"/>
      </c>
    </row>
    <row r="130" spans="1:26" s="433" customFormat="1" ht="30" customHeight="1" thickBot="1">
      <c r="A130" s="1310" t="s">
        <v>223</v>
      </c>
      <c r="B130" s="1311"/>
      <c r="C130" s="1311"/>
      <c r="D130" s="1311"/>
      <c r="E130" s="1311"/>
      <c r="F130" s="1311"/>
      <c r="G130" s="1311"/>
      <c r="H130" s="1311"/>
      <c r="I130" s="1311"/>
      <c r="J130" s="1311"/>
      <c r="K130" s="1311"/>
      <c r="L130" s="1311"/>
      <c r="M130" s="1311"/>
      <c r="N130" s="1311"/>
      <c r="O130" s="1311"/>
      <c r="P130" s="1311"/>
      <c r="Q130" s="1311"/>
      <c r="R130" s="1311"/>
      <c r="S130" s="1311"/>
      <c r="T130" s="1311"/>
      <c r="U130" s="1311"/>
      <c r="V130" s="1312"/>
      <c r="X130" s="414"/>
      <c r="Y130" s="414">
        <f t="shared" si="23"/>
      </c>
      <c r="Z130" s="414">
        <f t="shared" si="24"/>
      </c>
    </row>
    <row r="131" spans="1:26" s="438" customFormat="1" ht="77.25" customHeight="1" thickBot="1">
      <c r="A131" s="506" t="str">
        <f aca="true" t="shared" si="30" ref="A131:I131">A5</f>
        <v>Titolo</v>
      </c>
      <c r="B131" s="507" t="str">
        <f t="shared" si="30"/>
        <v>Tipologia</v>
      </c>
      <c r="C131" s="507" t="str">
        <f t="shared" si="30"/>
        <v>Capitolo</v>
      </c>
      <c r="D131" s="507" t="str">
        <f t="shared" si="30"/>
        <v>Piano dei conti</v>
      </c>
      <c r="E131" s="507" t="str">
        <f t="shared" si="30"/>
        <v>DESCRIZIONE</v>
      </c>
      <c r="F131" s="507" t="str">
        <f t="shared" si="30"/>
        <v>RESIDUI PRESUNTI AL 31.12.2020              AL 12.01.2021</v>
      </c>
      <c r="G131" s="507" t="str">
        <f t="shared" si="30"/>
        <v>PREVISIONE INIZIALE 2018</v>
      </c>
      <c r="H131" s="507" t="str">
        <f t="shared" si="30"/>
        <v>ACCERTAMENTI 2018 ALLA DATA DEL </v>
      </c>
      <c r="I131" s="894" t="str">
        <f t="shared" si="30"/>
        <v>PREVISIONE 2020                            al 12.01.2021</v>
      </c>
      <c r="J131" s="894"/>
      <c r="K131" s="894" t="str">
        <f>K5</f>
        <v>PREVISIONE 2021</v>
      </c>
      <c r="L131" s="894"/>
      <c r="M131" s="894"/>
      <c r="N131" s="894" t="str">
        <f>N5</f>
        <v>PREVISIONE 2022</v>
      </c>
      <c r="O131" s="507"/>
      <c r="P131" s="507"/>
      <c r="Q131" s="508" t="str">
        <f>Q5</f>
        <v>PREVISIONE 2023</v>
      </c>
      <c r="R131" s="509"/>
      <c r="S131" s="397"/>
      <c r="T131" s="820" t="str">
        <f>T5</f>
        <v>PREVISIONE DI CASSA 2021</v>
      </c>
      <c r="U131" s="510" t="str">
        <f>U5</f>
        <v>PEVISIONE DI CASSA 2021</v>
      </c>
      <c r="V131" s="511" t="str">
        <f>V5</f>
        <v>PEVISIONE DI CASSA 2022</v>
      </c>
      <c r="X131" s="414"/>
      <c r="Y131" s="414"/>
      <c r="Z131" s="414"/>
    </row>
    <row r="132" spans="1:26" s="433" customFormat="1" ht="30" customHeight="1" thickBot="1">
      <c r="A132" s="512">
        <v>5</v>
      </c>
      <c r="B132" s="979">
        <v>407</v>
      </c>
      <c r="C132" s="973">
        <v>1070</v>
      </c>
      <c r="D132" s="514" t="s">
        <v>981</v>
      </c>
      <c r="E132" s="515" t="s">
        <v>3</v>
      </c>
      <c r="F132" s="516"/>
      <c r="G132" s="516"/>
      <c r="H132" s="516"/>
      <c r="I132" s="751"/>
      <c r="J132" s="751"/>
      <c r="K132" s="751">
        <v>200000</v>
      </c>
      <c r="L132" s="751"/>
      <c r="M132" s="751"/>
      <c r="N132" s="751"/>
      <c r="O132" s="517"/>
      <c r="P132" s="518"/>
      <c r="Q132" s="518"/>
      <c r="R132" s="519"/>
      <c r="S132" s="519"/>
      <c r="T132" s="1284">
        <f>F132+K132</f>
        <v>200000</v>
      </c>
      <c r="U132" s="520"/>
      <c r="V132" s="521"/>
      <c r="X132" s="414">
        <f t="shared" si="22"/>
      </c>
      <c r="Y132" s="414">
        <f t="shared" si="23"/>
      </c>
      <c r="Z132" s="414">
        <f t="shared" si="24"/>
      </c>
    </row>
    <row r="133" spans="1:26" s="433" customFormat="1" ht="30" customHeight="1" thickBot="1">
      <c r="A133" s="1319" t="s">
        <v>224</v>
      </c>
      <c r="B133" s="1319"/>
      <c r="C133" s="1319"/>
      <c r="D133" s="1319"/>
      <c r="E133" s="1320"/>
      <c r="F133" s="1062">
        <f>SUM(F132)</f>
        <v>0</v>
      </c>
      <c r="G133" s="1062">
        <f>SUM(G132)</f>
        <v>0</v>
      </c>
      <c r="H133" s="1062">
        <f>SUM(H132)</f>
        <v>0</v>
      </c>
      <c r="I133" s="1062">
        <f>SUM(I132)</f>
        <v>0</v>
      </c>
      <c r="J133" s="1062"/>
      <c r="K133" s="1062">
        <f>SUM(K132)</f>
        <v>200000</v>
      </c>
      <c r="L133" s="1062"/>
      <c r="M133" s="1062"/>
      <c r="N133" s="1062">
        <f>SUM(N132)</f>
        <v>0</v>
      </c>
      <c r="O133" s="1062">
        <f>SUM(O132)</f>
        <v>0</v>
      </c>
      <c r="P133" s="1062"/>
      <c r="Q133" s="1062">
        <f>SUM(Q132)</f>
        <v>0</v>
      </c>
      <c r="R133" s="1062">
        <f>SUM(R132)</f>
        <v>0</v>
      </c>
      <c r="S133" s="1064"/>
      <c r="T133" s="1066">
        <f>SUM(T132)</f>
        <v>200000</v>
      </c>
      <c r="U133" s="431">
        <f>SUM(U132)</f>
        <v>0</v>
      </c>
      <c r="V133" s="432">
        <f>SUM(V132)</f>
        <v>0</v>
      </c>
      <c r="X133" s="414">
        <f t="shared" si="22"/>
      </c>
      <c r="Y133" s="414">
        <f t="shared" si="23"/>
      </c>
      <c r="Z133" s="414">
        <f t="shared" si="24"/>
      </c>
    </row>
    <row r="134" spans="1:26" s="433" customFormat="1" ht="30" customHeight="1" thickBot="1">
      <c r="A134" s="522"/>
      <c r="B134" s="522"/>
      <c r="C134" s="522"/>
      <c r="D134" s="522"/>
      <c r="E134" s="523"/>
      <c r="F134" s="524"/>
      <c r="G134" s="524"/>
      <c r="H134" s="524"/>
      <c r="I134" s="749"/>
      <c r="J134" s="749"/>
      <c r="K134" s="749"/>
      <c r="L134" s="749"/>
      <c r="M134" s="749"/>
      <c r="N134" s="749"/>
      <c r="O134" s="524"/>
      <c r="P134" s="524"/>
      <c r="Q134" s="524"/>
      <c r="R134" s="524"/>
      <c r="S134" s="524"/>
      <c r="T134" s="749"/>
      <c r="U134" s="524"/>
      <c r="V134" s="524"/>
      <c r="X134" s="414"/>
      <c r="Y134" s="414">
        <f t="shared" si="23"/>
      </c>
      <c r="Z134" s="414">
        <f t="shared" si="24"/>
      </c>
    </row>
    <row r="135" spans="1:26" s="433" customFormat="1" ht="30" customHeight="1" thickBot="1">
      <c r="A135" s="1310" t="s">
        <v>28</v>
      </c>
      <c r="B135" s="1311"/>
      <c r="C135" s="1311"/>
      <c r="D135" s="1311"/>
      <c r="E135" s="1311"/>
      <c r="F135" s="1311"/>
      <c r="G135" s="1311"/>
      <c r="H135" s="1311"/>
      <c r="I135" s="1311"/>
      <c r="J135" s="1311"/>
      <c r="K135" s="1311"/>
      <c r="L135" s="1311"/>
      <c r="M135" s="1311"/>
      <c r="N135" s="1311"/>
      <c r="O135" s="1311"/>
      <c r="P135" s="1311"/>
      <c r="Q135" s="1311"/>
      <c r="R135" s="1311"/>
      <c r="S135" s="1311"/>
      <c r="T135" s="1311"/>
      <c r="U135" s="1311"/>
      <c r="V135" s="1312"/>
      <c r="X135" s="414"/>
      <c r="Y135" s="414">
        <f t="shared" si="23"/>
      </c>
      <c r="Z135" s="414">
        <f t="shared" si="24"/>
      </c>
    </row>
    <row r="136" spans="1:26" s="438" customFormat="1" ht="76.5" customHeight="1" thickBot="1">
      <c r="A136" s="446" t="str">
        <f>A5</f>
        <v>Titolo</v>
      </c>
      <c r="B136" s="447" t="str">
        <f>B5</f>
        <v>Tipologia</v>
      </c>
      <c r="C136" s="447" t="str">
        <f>C5</f>
        <v>Capitolo</v>
      </c>
      <c r="D136" s="448" t="s">
        <v>443</v>
      </c>
      <c r="E136" s="447" t="str">
        <f aca="true" t="shared" si="31" ref="E136:V136">E5</f>
        <v>DESCRIZIONE</v>
      </c>
      <c r="F136" s="447" t="str">
        <f t="shared" si="31"/>
        <v>RESIDUI PRESUNTI AL 31.12.2020              AL 12.01.2021</v>
      </c>
      <c r="G136" s="447" t="str">
        <f t="shared" si="31"/>
        <v>PREVISIONE INIZIALE 2018</v>
      </c>
      <c r="H136" s="447" t="str">
        <f t="shared" si="31"/>
        <v>ACCERTAMENTI 2018 ALLA DATA DEL </v>
      </c>
      <c r="I136" s="882" t="str">
        <f t="shared" si="31"/>
        <v>PREVISIONE 2020                            al 12.01.2021</v>
      </c>
      <c r="J136" s="882" t="str">
        <f t="shared" si="31"/>
        <v>PREVISIONE 2018                                                (solo FPV)</v>
      </c>
      <c r="K136" s="882" t="str">
        <f t="shared" si="31"/>
        <v>PREVISIONE 2021</v>
      </c>
      <c r="L136" s="882" t="str">
        <f t="shared" si="31"/>
        <v>PREVISIONE 2019                               (solo FPV)</v>
      </c>
      <c r="M136" s="882" t="str">
        <f t="shared" si="31"/>
        <v>F.P.V. rinveniente da debito</v>
      </c>
      <c r="N136" s="882" t="str">
        <f t="shared" si="31"/>
        <v>PREVISIONE 2022</v>
      </c>
      <c r="O136" s="447" t="str">
        <f t="shared" si="31"/>
        <v>PREVISIONE 2020                      (solo FPV)</v>
      </c>
      <c r="P136" s="447" t="str">
        <f t="shared" si="31"/>
        <v>F.P.V. rinveniente da debito</v>
      </c>
      <c r="Q136" s="484" t="str">
        <f t="shared" si="31"/>
        <v>PREVISIONE 2023</v>
      </c>
      <c r="R136" s="399" t="str">
        <f t="shared" si="31"/>
        <v>PREVISIONE 2021                     (solo FPV)</v>
      </c>
      <c r="S136" s="486" t="str">
        <f t="shared" si="31"/>
        <v>F.P.V. rinveniente da debito</v>
      </c>
      <c r="T136" s="812" t="str">
        <f t="shared" si="31"/>
        <v>PREVISIONE DI CASSA 2021</v>
      </c>
      <c r="U136" s="487" t="str">
        <f t="shared" si="31"/>
        <v>PEVISIONE DI CASSA 2021</v>
      </c>
      <c r="V136" s="484" t="str">
        <f t="shared" si="31"/>
        <v>PEVISIONE DI CASSA 2022</v>
      </c>
      <c r="X136" s="414"/>
      <c r="Y136" s="414"/>
      <c r="Z136" s="414"/>
    </row>
    <row r="137" spans="1:26" ht="30" customHeight="1">
      <c r="A137" s="404">
        <v>6</v>
      </c>
      <c r="B137" s="405" t="s">
        <v>21</v>
      </c>
      <c r="C137" s="406">
        <v>1133</v>
      </c>
      <c r="D137" s="439" t="s">
        <v>83</v>
      </c>
      <c r="E137" s="440" t="s">
        <v>932</v>
      </c>
      <c r="F137" s="886"/>
      <c r="G137" s="441"/>
      <c r="H137" s="441"/>
      <c r="I137" s="875">
        <v>200000</v>
      </c>
      <c r="J137" s="875"/>
      <c r="K137" s="874"/>
      <c r="L137" s="875"/>
      <c r="M137" s="875"/>
      <c r="N137" s="875"/>
      <c r="O137" s="875"/>
      <c r="P137" s="875"/>
      <c r="Q137" s="874"/>
      <c r="R137" s="411"/>
      <c r="S137" s="411"/>
      <c r="T137" s="813">
        <f>F137+K137</f>
        <v>0</v>
      </c>
      <c r="U137" s="411"/>
      <c r="V137" s="412"/>
      <c r="X137" s="414">
        <f t="shared" si="22"/>
      </c>
      <c r="Y137" s="414">
        <f t="shared" si="23"/>
      </c>
      <c r="Z137" s="414">
        <f t="shared" si="24"/>
      </c>
    </row>
    <row r="138" spans="1:26" ht="30" customHeight="1" hidden="1">
      <c r="A138" s="404">
        <v>6</v>
      </c>
      <c r="B138" s="405" t="s">
        <v>21</v>
      </c>
      <c r="C138" s="406">
        <v>1175</v>
      </c>
      <c r="D138" s="439" t="s">
        <v>83</v>
      </c>
      <c r="E138" s="440" t="s">
        <v>694</v>
      </c>
      <c r="F138" s="441"/>
      <c r="G138" s="441"/>
      <c r="H138" s="441"/>
      <c r="I138" s="875"/>
      <c r="J138" s="875"/>
      <c r="K138" s="874"/>
      <c r="L138" s="875"/>
      <c r="M138" s="875"/>
      <c r="N138" s="875"/>
      <c r="O138" s="875"/>
      <c r="P138" s="875"/>
      <c r="Q138" s="874"/>
      <c r="R138" s="411"/>
      <c r="S138" s="411"/>
      <c r="T138" s="813">
        <f>F138+K138</f>
        <v>0</v>
      </c>
      <c r="U138" s="411"/>
      <c r="V138" s="412"/>
      <c r="X138" s="414">
        <f>IF(T138&gt;(F138+K138),"ERRORE","")</f>
      </c>
      <c r="Y138" s="414">
        <f>IF(U138&gt;(F138+N138),"ERRORE","")</f>
      </c>
      <c r="Z138" s="414">
        <f>IF(V138&gt;(F138+Q138),"ERRORE","")</f>
      </c>
    </row>
    <row r="139" spans="1:26" ht="30" customHeight="1" thickBot="1">
      <c r="A139" s="415">
        <v>6</v>
      </c>
      <c r="B139" s="416" t="s">
        <v>21</v>
      </c>
      <c r="C139" s="417">
        <v>1231</v>
      </c>
      <c r="D139" s="443" t="s">
        <v>83</v>
      </c>
      <c r="E139" s="328" t="s">
        <v>743</v>
      </c>
      <c r="F139" s="424">
        <v>18119.53</v>
      </c>
      <c r="G139" s="424"/>
      <c r="H139" s="424"/>
      <c r="I139" s="769"/>
      <c r="J139" s="769"/>
      <c r="K139" s="770"/>
      <c r="L139" s="769"/>
      <c r="M139" s="769"/>
      <c r="N139" s="769"/>
      <c r="O139" s="769"/>
      <c r="P139" s="769"/>
      <c r="Q139" s="770"/>
      <c r="R139" s="421"/>
      <c r="S139" s="421"/>
      <c r="T139" s="813">
        <f>F139+K139</f>
        <v>18119.53</v>
      </c>
      <c r="U139" s="474"/>
      <c r="V139" s="475"/>
      <c r="X139" s="414">
        <f t="shared" si="22"/>
      </c>
      <c r="Y139" s="414"/>
      <c r="Z139" s="414"/>
    </row>
    <row r="140" spans="1:26" ht="30" customHeight="1" hidden="1" thickBot="1">
      <c r="A140" s="526">
        <v>6</v>
      </c>
      <c r="B140" s="527" t="s">
        <v>21</v>
      </c>
      <c r="C140" s="528">
        <v>1176</v>
      </c>
      <c r="D140" s="529" t="s">
        <v>83</v>
      </c>
      <c r="E140" s="530" t="s">
        <v>714</v>
      </c>
      <c r="F140" s="531"/>
      <c r="G140" s="531"/>
      <c r="H140" s="531"/>
      <c r="I140" s="895"/>
      <c r="J140" s="895"/>
      <c r="K140" s="896"/>
      <c r="L140" s="895"/>
      <c r="M140" s="895"/>
      <c r="N140" s="895"/>
      <c r="O140" s="895"/>
      <c r="P140" s="895"/>
      <c r="Q140" s="896"/>
      <c r="R140" s="532"/>
      <c r="S140" s="532"/>
      <c r="T140" s="813">
        <f>F140+K140</f>
        <v>0</v>
      </c>
      <c r="U140" s="474"/>
      <c r="V140" s="475"/>
      <c r="X140" s="414">
        <f>IF(T140&gt;(F140+K140),"ERRORE","")</f>
      </c>
      <c r="Y140" s="414">
        <f>IF(U140&gt;(F140+N140),"ERRORE","")</f>
      </c>
      <c r="Z140" s="414">
        <f>IF(V140&gt;(F140+Q140),"ERRORE","")</f>
      </c>
    </row>
    <row r="141" spans="1:26" ht="30" customHeight="1" thickBot="1">
      <c r="A141" s="1307" t="s">
        <v>620</v>
      </c>
      <c r="B141" s="1308"/>
      <c r="C141" s="1308"/>
      <c r="D141" s="1308"/>
      <c r="E141" s="1309"/>
      <c r="F141" s="897">
        <f>SUM(F137:F140)</f>
        <v>18119.53</v>
      </c>
      <c r="G141" s="897">
        <f>SUM(G137:G140)</f>
        <v>0</v>
      </c>
      <c r="H141" s="897">
        <f>SUM(H137:H140)</f>
        <v>0</v>
      </c>
      <c r="I141" s="897">
        <f>SUM(I137:I140)</f>
        <v>200000</v>
      </c>
      <c r="J141" s="897">
        <f aca="true" t="shared" si="32" ref="J141:V141">SUM(J137:J140)</f>
        <v>0</v>
      </c>
      <c r="K141" s="897">
        <f t="shared" si="32"/>
        <v>0</v>
      </c>
      <c r="L141" s="897">
        <f t="shared" si="32"/>
        <v>0</v>
      </c>
      <c r="M141" s="897">
        <f t="shared" si="32"/>
        <v>0</v>
      </c>
      <c r="N141" s="897">
        <f t="shared" si="32"/>
        <v>0</v>
      </c>
      <c r="O141" s="897">
        <f t="shared" si="32"/>
        <v>0</v>
      </c>
      <c r="P141" s="897">
        <f t="shared" si="32"/>
        <v>0</v>
      </c>
      <c r="Q141" s="897">
        <f t="shared" si="32"/>
        <v>0</v>
      </c>
      <c r="R141" s="897">
        <f t="shared" si="32"/>
        <v>0</v>
      </c>
      <c r="S141" s="1071">
        <f t="shared" si="32"/>
        <v>0</v>
      </c>
      <c r="T141" s="821">
        <f t="shared" si="32"/>
        <v>18119.53</v>
      </c>
      <c r="U141" s="1072">
        <f t="shared" si="32"/>
        <v>0</v>
      </c>
      <c r="V141" s="1073">
        <f t="shared" si="32"/>
        <v>0</v>
      </c>
      <c r="X141" s="414">
        <f t="shared" si="22"/>
      </c>
      <c r="Y141" s="414">
        <f t="shared" si="23"/>
      </c>
      <c r="Z141" s="414">
        <f t="shared" si="24"/>
      </c>
    </row>
    <row r="142" spans="1:26" s="535" customFormat="1" ht="30" customHeight="1" thickBot="1">
      <c r="A142" s="1313" t="s">
        <v>22</v>
      </c>
      <c r="B142" s="1314"/>
      <c r="C142" s="1314"/>
      <c r="D142" s="1314"/>
      <c r="E142" s="1314"/>
      <c r="F142" s="1074">
        <f aca="true" t="shared" si="33" ref="F142:V142">F141</f>
        <v>18119.53</v>
      </c>
      <c r="G142" s="1074">
        <f t="shared" si="33"/>
        <v>0</v>
      </c>
      <c r="H142" s="1074">
        <f t="shared" si="33"/>
        <v>0</v>
      </c>
      <c r="I142" s="1074">
        <f t="shared" si="33"/>
        <v>200000</v>
      </c>
      <c r="J142" s="1074">
        <f t="shared" si="33"/>
        <v>0</v>
      </c>
      <c r="K142" s="1074">
        <f t="shared" si="33"/>
        <v>0</v>
      </c>
      <c r="L142" s="1074">
        <f t="shared" si="33"/>
        <v>0</v>
      </c>
      <c r="M142" s="1074">
        <f t="shared" si="33"/>
        <v>0</v>
      </c>
      <c r="N142" s="1074">
        <f t="shared" si="33"/>
        <v>0</v>
      </c>
      <c r="O142" s="1075">
        <f t="shared" si="33"/>
        <v>0</v>
      </c>
      <c r="P142" s="1075">
        <f t="shared" si="33"/>
        <v>0</v>
      </c>
      <c r="Q142" s="1075">
        <f t="shared" si="33"/>
        <v>0</v>
      </c>
      <c r="R142" s="1075">
        <f t="shared" si="33"/>
        <v>0</v>
      </c>
      <c r="S142" s="1075">
        <f t="shared" si="33"/>
        <v>0</v>
      </c>
      <c r="T142" s="1076">
        <f t="shared" si="33"/>
        <v>18119.53</v>
      </c>
      <c r="U142" s="533">
        <f t="shared" si="33"/>
        <v>0</v>
      </c>
      <c r="V142" s="534">
        <f t="shared" si="33"/>
        <v>0</v>
      </c>
      <c r="X142" s="414">
        <f t="shared" si="22"/>
      </c>
      <c r="Y142" s="414">
        <f t="shared" si="23"/>
      </c>
      <c r="Z142" s="414">
        <f t="shared" si="24"/>
      </c>
    </row>
    <row r="143" spans="1:26" s="438" customFormat="1" ht="30" customHeight="1" thickBot="1">
      <c r="A143" s="1310" t="s">
        <v>23</v>
      </c>
      <c r="B143" s="1311"/>
      <c r="C143" s="1311"/>
      <c r="D143" s="1311"/>
      <c r="E143" s="1311"/>
      <c r="F143" s="1311"/>
      <c r="G143" s="1311"/>
      <c r="H143" s="1311"/>
      <c r="I143" s="1311"/>
      <c r="J143" s="1311"/>
      <c r="K143" s="1311"/>
      <c r="L143" s="1311"/>
      <c r="M143" s="1311"/>
      <c r="N143" s="1311"/>
      <c r="O143" s="1311"/>
      <c r="P143" s="1311"/>
      <c r="Q143" s="1311"/>
      <c r="R143" s="1311"/>
      <c r="S143" s="1311"/>
      <c r="T143" s="1311"/>
      <c r="U143" s="1311"/>
      <c r="V143" s="1312"/>
      <c r="X143" s="414"/>
      <c r="Y143" s="414">
        <f t="shared" si="23"/>
      </c>
      <c r="Z143" s="414">
        <f t="shared" si="24"/>
      </c>
    </row>
    <row r="144" spans="1:26" s="438" customFormat="1" ht="52.5" customHeight="1" thickBot="1">
      <c r="A144" s="446" t="str">
        <f>A5</f>
        <v>Titolo</v>
      </c>
      <c r="B144" s="447" t="str">
        <f>B5</f>
        <v>Tipologia</v>
      </c>
      <c r="C144" s="447" t="str">
        <f>C5</f>
        <v>Capitolo</v>
      </c>
      <c r="D144" s="448" t="s">
        <v>443</v>
      </c>
      <c r="E144" s="447" t="str">
        <f>E5</f>
        <v>DESCRIZIONE</v>
      </c>
      <c r="F144" s="447" t="str">
        <f>F5</f>
        <v>RESIDUI PRESUNTI AL 31.12.2020              AL 12.01.2021</v>
      </c>
      <c r="G144" s="447" t="str">
        <f>G5</f>
        <v>PREVISIONE INIZIALE 2018</v>
      </c>
      <c r="H144" s="447" t="str">
        <f>H5</f>
        <v>ACCERTAMENTI 2018 ALLA DATA DEL </v>
      </c>
      <c r="I144" s="882" t="str">
        <f>I5</f>
        <v>PREVISIONE 2020                            al 12.01.2021</v>
      </c>
      <c r="J144" s="882"/>
      <c r="K144" s="882" t="str">
        <f>K5</f>
        <v>PREVISIONE 2021</v>
      </c>
      <c r="L144" s="882"/>
      <c r="M144" s="882"/>
      <c r="N144" s="882" t="str">
        <f>N5</f>
        <v>PREVISIONE 2022</v>
      </c>
      <c r="O144" s="447"/>
      <c r="P144" s="447"/>
      <c r="Q144" s="484" t="str">
        <f>Q5</f>
        <v>PREVISIONE 2023</v>
      </c>
      <c r="R144" s="510"/>
      <c r="S144" s="395"/>
      <c r="T144" s="831" t="str">
        <f>T5</f>
        <v>PREVISIONE DI CASSA 2021</v>
      </c>
      <c r="U144" s="485" t="str">
        <f>U5</f>
        <v>PEVISIONE DI CASSA 2021</v>
      </c>
      <c r="V144" s="536" t="str">
        <f>V5</f>
        <v>PEVISIONE DI CASSA 2022</v>
      </c>
      <c r="X144" s="414"/>
      <c r="Y144" s="414"/>
      <c r="Z144" s="414"/>
    </row>
    <row r="145" spans="1:26" ht="30" customHeight="1" thickBot="1">
      <c r="A145" s="469">
        <v>7</v>
      </c>
      <c r="B145" s="470" t="s">
        <v>24</v>
      </c>
      <c r="C145" s="537">
        <v>1090</v>
      </c>
      <c r="D145" s="472" t="s">
        <v>90</v>
      </c>
      <c r="E145" s="538" t="s">
        <v>476</v>
      </c>
      <c r="F145" s="466">
        <v>0</v>
      </c>
      <c r="G145" s="466"/>
      <c r="H145" s="466">
        <v>0</v>
      </c>
      <c r="I145" s="898">
        <v>900000</v>
      </c>
      <c r="J145" s="898"/>
      <c r="K145" s="898">
        <v>900000</v>
      </c>
      <c r="L145" s="887"/>
      <c r="M145" s="887"/>
      <c r="N145" s="887">
        <v>900000</v>
      </c>
      <c r="O145" s="895"/>
      <c r="P145" s="895"/>
      <c r="Q145" s="896">
        <v>900000</v>
      </c>
      <c r="R145" s="539"/>
      <c r="S145" s="539"/>
      <c r="T145" s="817">
        <f>F145+K145</f>
        <v>900000</v>
      </c>
      <c r="U145" s="539"/>
      <c r="V145" s="540">
        <v>0</v>
      </c>
      <c r="X145" s="414">
        <f t="shared" si="22"/>
      </c>
      <c r="Y145" s="414">
        <f t="shared" si="23"/>
      </c>
      <c r="Z145" s="414">
        <f t="shared" si="24"/>
      </c>
    </row>
    <row r="146" spans="1:26" s="544" customFormat="1" ht="30" customHeight="1" thickBot="1">
      <c r="A146" s="1321" t="s">
        <v>621</v>
      </c>
      <c r="B146" s="1322"/>
      <c r="C146" s="1322"/>
      <c r="D146" s="1322"/>
      <c r="E146" s="1323"/>
      <c r="F146" s="802">
        <f aca="true" t="shared" si="34" ref="F146:S146">SUM(F145)</f>
        <v>0</v>
      </c>
      <c r="G146" s="541">
        <f t="shared" si="34"/>
        <v>0</v>
      </c>
      <c r="H146" s="541">
        <f t="shared" si="34"/>
        <v>0</v>
      </c>
      <c r="I146" s="899">
        <f t="shared" si="34"/>
        <v>900000</v>
      </c>
      <c r="J146" s="899">
        <f t="shared" si="34"/>
        <v>0</v>
      </c>
      <c r="K146" s="899">
        <f t="shared" si="34"/>
        <v>900000</v>
      </c>
      <c r="L146" s="899">
        <f t="shared" si="34"/>
        <v>0</v>
      </c>
      <c r="M146" s="899">
        <f t="shared" si="34"/>
        <v>0</v>
      </c>
      <c r="N146" s="899">
        <f t="shared" si="34"/>
        <v>900000</v>
      </c>
      <c r="O146" s="541">
        <f t="shared" si="34"/>
        <v>0</v>
      </c>
      <c r="P146" s="541">
        <f t="shared" si="34"/>
        <v>0</v>
      </c>
      <c r="Q146" s="541">
        <f t="shared" si="34"/>
        <v>900000</v>
      </c>
      <c r="R146" s="541">
        <f t="shared" si="34"/>
        <v>0</v>
      </c>
      <c r="S146" s="541">
        <f t="shared" si="34"/>
        <v>0</v>
      </c>
      <c r="T146" s="822">
        <f>SUM(T145)</f>
        <v>900000</v>
      </c>
      <c r="U146" s="542">
        <f>SUM(U145)</f>
        <v>0</v>
      </c>
      <c r="V146" s="543">
        <f>SUM(V145)</f>
        <v>0</v>
      </c>
      <c r="X146" s="414">
        <f t="shared" si="22"/>
      </c>
      <c r="Y146" s="414">
        <f t="shared" si="23"/>
      </c>
      <c r="Z146" s="414">
        <f t="shared" si="24"/>
      </c>
    </row>
    <row r="147" spans="1:26" s="433" customFormat="1" ht="30" customHeight="1" thickBot="1">
      <c r="A147" s="1313" t="s">
        <v>373</v>
      </c>
      <c r="B147" s="1314"/>
      <c r="C147" s="1314"/>
      <c r="D147" s="1314"/>
      <c r="E147" s="1314"/>
      <c r="F147" s="1062">
        <f aca="true" t="shared" si="35" ref="F147:Q147">F146</f>
        <v>0</v>
      </c>
      <c r="G147" s="1062">
        <f t="shared" si="35"/>
        <v>0</v>
      </c>
      <c r="H147" s="1062">
        <f t="shared" si="35"/>
        <v>0</v>
      </c>
      <c r="I147" s="1062">
        <f t="shared" si="35"/>
        <v>900000</v>
      </c>
      <c r="J147" s="1062">
        <f t="shared" si="35"/>
        <v>0</v>
      </c>
      <c r="K147" s="1062">
        <f t="shared" si="35"/>
        <v>900000</v>
      </c>
      <c r="L147" s="1062">
        <f t="shared" si="35"/>
        <v>0</v>
      </c>
      <c r="M147" s="1062">
        <f t="shared" si="35"/>
        <v>0</v>
      </c>
      <c r="N147" s="1062">
        <f t="shared" si="35"/>
        <v>900000</v>
      </c>
      <c r="O147" s="1062">
        <f t="shared" si="35"/>
        <v>0</v>
      </c>
      <c r="P147" s="1062">
        <f t="shared" si="35"/>
        <v>0</v>
      </c>
      <c r="Q147" s="1062">
        <f t="shared" si="35"/>
        <v>900000</v>
      </c>
      <c r="R147" s="1062">
        <f>R146</f>
        <v>0</v>
      </c>
      <c r="S147" s="1062">
        <f>S146</f>
        <v>0</v>
      </c>
      <c r="T147" s="1066">
        <f>T146</f>
        <v>900000</v>
      </c>
      <c r="U147" s="431">
        <f>U146</f>
        <v>0</v>
      </c>
      <c r="V147" s="432">
        <f>V146</f>
        <v>0</v>
      </c>
      <c r="X147" s="414">
        <f t="shared" si="22"/>
      </c>
      <c r="Y147" s="414">
        <f t="shared" si="23"/>
      </c>
      <c r="Z147" s="414">
        <f t="shared" si="24"/>
      </c>
    </row>
    <row r="148" spans="1:26" s="433" customFormat="1" ht="30" customHeight="1" thickBot="1">
      <c r="A148" s="1310" t="s">
        <v>25</v>
      </c>
      <c r="B148" s="1311"/>
      <c r="C148" s="1311"/>
      <c r="D148" s="1311"/>
      <c r="E148" s="1311"/>
      <c r="F148" s="1311"/>
      <c r="G148" s="1311"/>
      <c r="H148" s="1311"/>
      <c r="I148" s="1311"/>
      <c r="J148" s="1311"/>
      <c r="K148" s="1311"/>
      <c r="L148" s="1311"/>
      <c r="M148" s="1311"/>
      <c r="N148" s="1311"/>
      <c r="O148" s="1311"/>
      <c r="P148" s="1311"/>
      <c r="Q148" s="1311"/>
      <c r="R148" s="1311"/>
      <c r="S148" s="1311"/>
      <c r="T148" s="1311"/>
      <c r="U148" s="1311"/>
      <c r="V148" s="1312"/>
      <c r="X148" s="414"/>
      <c r="Y148" s="414">
        <f t="shared" si="23"/>
      </c>
      <c r="Z148" s="414">
        <f t="shared" si="24"/>
      </c>
    </row>
    <row r="149" spans="1:26" s="438" customFormat="1" ht="69.75" customHeight="1" thickBot="1">
      <c r="A149" s="446" t="str">
        <f>A5</f>
        <v>Titolo</v>
      </c>
      <c r="B149" s="447" t="str">
        <f>B5</f>
        <v>Tipologia</v>
      </c>
      <c r="C149" s="447" t="str">
        <f>C5</f>
        <v>Capitolo</v>
      </c>
      <c r="D149" s="448" t="s">
        <v>443</v>
      </c>
      <c r="E149" s="447" t="str">
        <f>E5</f>
        <v>DESCRIZIONE</v>
      </c>
      <c r="F149" s="447" t="str">
        <f>F5</f>
        <v>RESIDUI PRESUNTI AL 31.12.2020              AL 12.01.2021</v>
      </c>
      <c r="G149" s="447" t="str">
        <f>G5</f>
        <v>PREVISIONE INIZIALE 2018</v>
      </c>
      <c r="H149" s="447" t="str">
        <f>H5</f>
        <v>ACCERTAMENTI 2018 ALLA DATA DEL </v>
      </c>
      <c r="I149" s="882" t="str">
        <f>I5</f>
        <v>PREVISIONE 2020                            al 12.01.2021</v>
      </c>
      <c r="J149" s="882"/>
      <c r="K149" s="882" t="str">
        <f>K5</f>
        <v>PREVISIONE 2021</v>
      </c>
      <c r="L149" s="882"/>
      <c r="M149" s="882"/>
      <c r="N149" s="882" t="str">
        <f>N5</f>
        <v>PREVISIONE 2022</v>
      </c>
      <c r="O149" s="447"/>
      <c r="P149" s="447"/>
      <c r="Q149" s="447" t="str">
        <f>Q5</f>
        <v>PREVISIONE 2023</v>
      </c>
      <c r="R149" s="447"/>
      <c r="S149" s="447"/>
      <c r="T149" s="831" t="str">
        <f>T5</f>
        <v>PREVISIONE DI CASSA 2021</v>
      </c>
      <c r="U149" s="487" t="str">
        <f>U5</f>
        <v>PEVISIONE DI CASSA 2021</v>
      </c>
      <c r="V149" s="484" t="str">
        <f>V5</f>
        <v>PEVISIONE DI CASSA 2022</v>
      </c>
      <c r="X149" s="414"/>
      <c r="Y149" s="414"/>
      <c r="Z149" s="414"/>
    </row>
    <row r="150" spans="1:26" ht="30" customHeight="1">
      <c r="A150" s="404">
        <v>9</v>
      </c>
      <c r="B150" s="405" t="s">
        <v>26</v>
      </c>
      <c r="C150" s="545">
        <v>6009</v>
      </c>
      <c r="D150" s="439" t="s">
        <v>91</v>
      </c>
      <c r="E150" s="440" t="s">
        <v>436</v>
      </c>
      <c r="F150" s="886">
        <v>0</v>
      </c>
      <c r="G150" s="886"/>
      <c r="H150" s="886"/>
      <c r="I150" s="886">
        <v>10000</v>
      </c>
      <c r="J150" s="886"/>
      <c r="K150" s="874">
        <v>10000</v>
      </c>
      <c r="L150" s="875"/>
      <c r="M150" s="875"/>
      <c r="N150" s="874">
        <v>10000</v>
      </c>
      <c r="O150" s="875"/>
      <c r="P150" s="875"/>
      <c r="Q150" s="874">
        <v>10000</v>
      </c>
      <c r="R150" s="1301"/>
      <c r="S150" s="1301"/>
      <c r="T150" s="813">
        <f>F150+K150</f>
        <v>10000</v>
      </c>
      <c r="U150" s="467"/>
      <c r="V150" s="468"/>
      <c r="X150" s="414">
        <f t="shared" si="22"/>
      </c>
      <c r="Y150" s="414">
        <f t="shared" si="23"/>
      </c>
      <c r="Z150" s="414">
        <f t="shared" si="24"/>
      </c>
    </row>
    <row r="151" spans="1:26" ht="30" customHeight="1">
      <c r="A151" s="415">
        <v>9</v>
      </c>
      <c r="B151" s="416" t="s">
        <v>26</v>
      </c>
      <c r="C151" s="546">
        <v>6010</v>
      </c>
      <c r="D151" s="443" t="s">
        <v>448</v>
      </c>
      <c r="E151" s="328" t="s">
        <v>196</v>
      </c>
      <c r="F151" s="876">
        <v>16761.98</v>
      </c>
      <c r="G151" s="876"/>
      <c r="H151" s="876"/>
      <c r="I151" s="876">
        <v>100000</v>
      </c>
      <c r="J151" s="876"/>
      <c r="K151" s="770">
        <v>100000</v>
      </c>
      <c r="L151" s="769"/>
      <c r="M151" s="769"/>
      <c r="N151" s="770">
        <v>100000</v>
      </c>
      <c r="O151" s="769"/>
      <c r="P151" s="769"/>
      <c r="Q151" s="770">
        <v>100000</v>
      </c>
      <c r="R151" s="771"/>
      <c r="S151" s="771"/>
      <c r="T151" s="1292">
        <f>F151+K151</f>
        <v>116761.98</v>
      </c>
      <c r="U151" s="421"/>
      <c r="V151" s="422"/>
      <c r="X151" s="414">
        <f t="shared" si="22"/>
      </c>
      <c r="Y151" s="414">
        <f t="shared" si="23"/>
      </c>
      <c r="Z151" s="414">
        <f t="shared" si="24"/>
      </c>
    </row>
    <row r="152" spans="1:26" ht="30" customHeight="1">
      <c r="A152" s="415">
        <v>9</v>
      </c>
      <c r="B152" s="416" t="s">
        <v>26</v>
      </c>
      <c r="C152" s="547">
        <v>6001</v>
      </c>
      <c r="D152" s="443" t="s">
        <v>446</v>
      </c>
      <c r="E152" s="423" t="s">
        <v>204</v>
      </c>
      <c r="F152" s="769">
        <v>113238.49</v>
      </c>
      <c r="G152" s="769"/>
      <c r="H152" s="769"/>
      <c r="I152" s="769">
        <v>150000</v>
      </c>
      <c r="J152" s="769"/>
      <c r="K152" s="770">
        <v>150000</v>
      </c>
      <c r="L152" s="769"/>
      <c r="M152" s="769"/>
      <c r="N152" s="770">
        <v>150000</v>
      </c>
      <c r="O152" s="769"/>
      <c r="P152" s="769"/>
      <c r="Q152" s="770">
        <v>150000</v>
      </c>
      <c r="R152" s="771"/>
      <c r="S152" s="771"/>
      <c r="T152" s="772">
        <f aca="true" t="shared" si="36" ref="T152:T157">F152+K152</f>
        <v>263238.49</v>
      </c>
      <c r="U152" s="421"/>
      <c r="V152" s="422"/>
      <c r="X152" s="414">
        <f t="shared" si="22"/>
      </c>
      <c r="Y152" s="414">
        <f t="shared" si="23"/>
      </c>
      <c r="Z152" s="414">
        <f t="shared" si="24"/>
      </c>
    </row>
    <row r="153" spans="1:26" ht="30" customHeight="1">
      <c r="A153" s="415">
        <v>9</v>
      </c>
      <c r="B153" s="416" t="s">
        <v>26</v>
      </c>
      <c r="C153" s="546">
        <v>6011</v>
      </c>
      <c r="D153" s="443" t="s">
        <v>446</v>
      </c>
      <c r="E153" s="423" t="s">
        <v>460</v>
      </c>
      <c r="F153" s="769">
        <v>0</v>
      </c>
      <c r="G153" s="769"/>
      <c r="H153" s="769"/>
      <c r="I153" s="769">
        <v>10000</v>
      </c>
      <c r="J153" s="769"/>
      <c r="K153" s="770">
        <v>10000</v>
      </c>
      <c r="L153" s="769"/>
      <c r="M153" s="769"/>
      <c r="N153" s="770">
        <v>10000</v>
      </c>
      <c r="O153" s="769"/>
      <c r="P153" s="769"/>
      <c r="Q153" s="770">
        <v>10000</v>
      </c>
      <c r="R153" s="771"/>
      <c r="S153" s="771"/>
      <c r="T153" s="772">
        <f t="shared" si="36"/>
        <v>10000</v>
      </c>
      <c r="U153" s="421"/>
      <c r="V153" s="422"/>
      <c r="X153" s="414">
        <f t="shared" si="22"/>
      </c>
      <c r="Y153" s="414">
        <f t="shared" si="23"/>
      </c>
      <c r="Z153" s="414">
        <f t="shared" si="24"/>
      </c>
    </row>
    <row r="154" spans="1:26" ht="30" customHeight="1">
      <c r="A154" s="415">
        <v>9</v>
      </c>
      <c r="B154" s="416" t="s">
        <v>26</v>
      </c>
      <c r="C154" s="547">
        <v>6012</v>
      </c>
      <c r="D154" s="429" t="s">
        <v>290</v>
      </c>
      <c r="E154" s="423" t="s">
        <v>291</v>
      </c>
      <c r="F154" s="769">
        <v>720.26</v>
      </c>
      <c r="G154" s="769"/>
      <c r="H154" s="769"/>
      <c r="I154" s="769">
        <v>200000</v>
      </c>
      <c r="J154" s="769"/>
      <c r="K154" s="770">
        <v>200000</v>
      </c>
      <c r="L154" s="769"/>
      <c r="M154" s="769"/>
      <c r="N154" s="770">
        <v>200000</v>
      </c>
      <c r="O154" s="769"/>
      <c r="P154" s="769"/>
      <c r="Q154" s="770">
        <v>200000</v>
      </c>
      <c r="R154" s="771"/>
      <c r="S154" s="771"/>
      <c r="T154" s="772">
        <f t="shared" si="36"/>
        <v>200720.26</v>
      </c>
      <c r="U154" s="421"/>
      <c r="V154" s="422"/>
      <c r="X154" s="414">
        <f t="shared" si="22"/>
      </c>
      <c r="Y154" s="414">
        <f t="shared" si="23"/>
      </c>
      <c r="Z154" s="414">
        <f t="shared" si="24"/>
      </c>
    </row>
    <row r="155" spans="1:26" ht="30" customHeight="1">
      <c r="A155" s="415">
        <v>9</v>
      </c>
      <c r="B155" s="416" t="s">
        <v>26</v>
      </c>
      <c r="C155" s="547">
        <v>6003</v>
      </c>
      <c r="D155" s="443" t="s">
        <v>95</v>
      </c>
      <c r="E155" s="328" t="s">
        <v>908</v>
      </c>
      <c r="F155" s="769">
        <v>1392.25</v>
      </c>
      <c r="G155" s="769"/>
      <c r="H155" s="769"/>
      <c r="I155" s="769">
        <v>20000</v>
      </c>
      <c r="J155" s="769"/>
      <c r="K155" s="770">
        <v>20000</v>
      </c>
      <c r="L155" s="769"/>
      <c r="M155" s="769"/>
      <c r="N155" s="770">
        <v>20000</v>
      </c>
      <c r="O155" s="769"/>
      <c r="P155" s="769"/>
      <c r="Q155" s="770">
        <v>20000</v>
      </c>
      <c r="R155" s="771"/>
      <c r="S155" s="771"/>
      <c r="T155" s="772">
        <f t="shared" si="36"/>
        <v>21392.25</v>
      </c>
      <c r="U155" s="421"/>
      <c r="V155" s="422"/>
      <c r="X155" s="414">
        <f t="shared" si="22"/>
      </c>
      <c r="Y155" s="414">
        <f t="shared" si="23"/>
      </c>
      <c r="Z155" s="414">
        <f t="shared" si="24"/>
      </c>
    </row>
    <row r="156" spans="1:26" ht="30" customHeight="1">
      <c r="A156" s="415">
        <v>9</v>
      </c>
      <c r="B156" s="416" t="s">
        <v>26</v>
      </c>
      <c r="C156" s="547" t="s">
        <v>478</v>
      </c>
      <c r="D156" s="429" t="s">
        <v>449</v>
      </c>
      <c r="E156" s="423" t="s">
        <v>461</v>
      </c>
      <c r="F156" s="769">
        <v>1500</v>
      </c>
      <c r="G156" s="769"/>
      <c r="H156" s="769"/>
      <c r="I156" s="769">
        <v>100000</v>
      </c>
      <c r="J156" s="769"/>
      <c r="K156" s="770">
        <v>100000</v>
      </c>
      <c r="L156" s="769"/>
      <c r="M156" s="769"/>
      <c r="N156" s="770">
        <v>100000</v>
      </c>
      <c r="O156" s="769"/>
      <c r="P156" s="769"/>
      <c r="Q156" s="770">
        <v>100000</v>
      </c>
      <c r="R156" s="771"/>
      <c r="S156" s="771"/>
      <c r="T156" s="772">
        <f t="shared" si="36"/>
        <v>101500</v>
      </c>
      <c r="U156" s="421"/>
      <c r="V156" s="422"/>
      <c r="X156" s="414">
        <f t="shared" si="22"/>
      </c>
      <c r="Y156" s="414">
        <f t="shared" si="23"/>
      </c>
      <c r="Z156" s="414">
        <f t="shared" si="24"/>
      </c>
    </row>
    <row r="157" spans="1:26" ht="30" customHeight="1" thickBot="1">
      <c r="A157" s="453">
        <v>9</v>
      </c>
      <c r="B157" s="454" t="s">
        <v>26</v>
      </c>
      <c r="C157" s="550">
        <v>6006</v>
      </c>
      <c r="D157" s="456" t="s">
        <v>93</v>
      </c>
      <c r="E157" s="476" t="s">
        <v>514</v>
      </c>
      <c r="F157" s="769">
        <v>4571.77</v>
      </c>
      <c r="G157" s="769"/>
      <c r="H157" s="769"/>
      <c r="I157" s="769">
        <v>5200</v>
      </c>
      <c r="J157" s="769"/>
      <c r="K157" s="770">
        <v>5200</v>
      </c>
      <c r="L157" s="769"/>
      <c r="M157" s="769"/>
      <c r="N157" s="770">
        <v>5200</v>
      </c>
      <c r="O157" s="927"/>
      <c r="P157" s="927"/>
      <c r="Q157" s="770">
        <v>5200</v>
      </c>
      <c r="R157" s="1255"/>
      <c r="S157" s="1255"/>
      <c r="T157" s="772">
        <f t="shared" si="36"/>
        <v>9771.77</v>
      </c>
      <c r="U157" s="478"/>
      <c r="V157" s="461"/>
      <c r="X157" s="414">
        <f t="shared" si="22"/>
      </c>
      <c r="Y157" s="414">
        <f t="shared" si="23"/>
      </c>
      <c r="Z157" s="414">
        <f t="shared" si="24"/>
      </c>
    </row>
    <row r="158" spans="1:26" s="464" customFormat="1" ht="30" customHeight="1" thickBot="1">
      <c r="A158" s="1324" t="s">
        <v>622</v>
      </c>
      <c r="B158" s="1325"/>
      <c r="C158" s="1325"/>
      <c r="D158" s="1325"/>
      <c r="E158" s="1326"/>
      <c r="F158" s="1300">
        <f>SUM(F150:F157)</f>
        <v>138184.74999999997</v>
      </c>
      <c r="G158" s="548">
        <f>SUM(G150:G157)</f>
        <v>0</v>
      </c>
      <c r="H158" s="548">
        <f>SUM(H150:H157)</f>
        <v>0</v>
      </c>
      <c r="I158" s="900">
        <f>SUM(I150:I157)</f>
        <v>595200</v>
      </c>
      <c r="J158" s="900">
        <f aca="true" t="shared" si="37" ref="J158:Q158">SUM(J150:J157)</f>
        <v>0</v>
      </c>
      <c r="K158" s="900">
        <f t="shared" si="37"/>
        <v>595200</v>
      </c>
      <c r="L158" s="900">
        <f t="shared" si="37"/>
        <v>0</v>
      </c>
      <c r="M158" s="900"/>
      <c r="N158" s="900">
        <f t="shared" si="37"/>
        <v>595200</v>
      </c>
      <c r="O158" s="548">
        <f t="shared" si="37"/>
        <v>0</v>
      </c>
      <c r="P158" s="548">
        <f t="shared" si="37"/>
        <v>0</v>
      </c>
      <c r="Q158" s="548">
        <f t="shared" si="37"/>
        <v>595200</v>
      </c>
      <c r="R158" s="548">
        <f>SUM(R150:R157)</f>
        <v>0</v>
      </c>
      <c r="S158" s="548">
        <f>SUM(S150:S157)</f>
        <v>0</v>
      </c>
      <c r="T158" s="814">
        <f>SUM(T150:T157)</f>
        <v>733384.75</v>
      </c>
      <c r="U158" s="427">
        <f>SUM(U150:U157)</f>
        <v>0</v>
      </c>
      <c r="V158" s="428">
        <f>SUM(V150:V157)</f>
        <v>0</v>
      </c>
      <c r="X158" s="414">
        <f t="shared" si="22"/>
      </c>
      <c r="Y158" s="414">
        <f t="shared" si="23"/>
      </c>
      <c r="Z158" s="414">
        <f t="shared" si="24"/>
      </c>
    </row>
    <row r="159" spans="1:26" ht="30" customHeight="1">
      <c r="A159" s="404">
        <v>9</v>
      </c>
      <c r="B159" s="405" t="s">
        <v>27</v>
      </c>
      <c r="C159" s="549">
        <v>6004</v>
      </c>
      <c r="D159" s="439" t="s">
        <v>92</v>
      </c>
      <c r="E159" s="408" t="s">
        <v>206</v>
      </c>
      <c r="F159" s="875">
        <v>1092.32</v>
      </c>
      <c r="G159" s="875"/>
      <c r="H159" s="875"/>
      <c r="I159" s="875">
        <v>50000</v>
      </c>
      <c r="J159" s="875"/>
      <c r="K159" s="874">
        <v>50000</v>
      </c>
      <c r="L159" s="875"/>
      <c r="M159" s="875"/>
      <c r="N159" s="874">
        <v>50000</v>
      </c>
      <c r="O159" s="925"/>
      <c r="P159" s="925"/>
      <c r="Q159" s="874">
        <v>50000</v>
      </c>
      <c r="R159" s="925"/>
      <c r="S159" s="925"/>
      <c r="T159" s="816">
        <f>F159+K159</f>
        <v>51092.32</v>
      </c>
      <c r="U159" s="411"/>
      <c r="V159" s="412"/>
      <c r="X159" s="414">
        <f t="shared" si="22"/>
      </c>
      <c r="Y159" s="414">
        <f t="shared" si="23"/>
      </c>
      <c r="Z159" s="414">
        <f t="shared" si="24"/>
      </c>
    </row>
    <row r="160" spans="1:26" ht="30" customHeight="1">
      <c r="A160" s="415">
        <v>9</v>
      </c>
      <c r="B160" s="416" t="s">
        <v>27</v>
      </c>
      <c r="C160" s="547">
        <v>6007</v>
      </c>
      <c r="D160" s="443" t="s">
        <v>92</v>
      </c>
      <c r="E160" s="423" t="s">
        <v>208</v>
      </c>
      <c r="F160" s="769">
        <v>0</v>
      </c>
      <c r="G160" s="769"/>
      <c r="H160" s="769"/>
      <c r="I160" s="769">
        <v>20000</v>
      </c>
      <c r="J160" s="769"/>
      <c r="K160" s="770">
        <v>20000</v>
      </c>
      <c r="L160" s="769"/>
      <c r="M160" s="769"/>
      <c r="N160" s="770">
        <v>20000</v>
      </c>
      <c r="O160" s="769"/>
      <c r="P160" s="769"/>
      <c r="Q160" s="770">
        <v>20000</v>
      </c>
      <c r="R160" s="769"/>
      <c r="S160" s="769"/>
      <c r="T160" s="772">
        <f>F160+K160</f>
        <v>20000</v>
      </c>
      <c r="U160" s="421"/>
      <c r="V160" s="422"/>
      <c r="X160" s="414">
        <f t="shared" si="22"/>
      </c>
      <c r="Y160" s="414">
        <f t="shared" si="23"/>
      </c>
      <c r="Z160" s="414">
        <f t="shared" si="24"/>
      </c>
    </row>
    <row r="161" spans="1:26" ht="30" customHeight="1" thickBot="1">
      <c r="A161" s="453">
        <v>9</v>
      </c>
      <c r="B161" s="454" t="s">
        <v>27</v>
      </c>
      <c r="C161" s="612">
        <v>6005</v>
      </c>
      <c r="D161" s="456" t="s">
        <v>447</v>
      </c>
      <c r="E161" s="457" t="s">
        <v>207</v>
      </c>
      <c r="F161" s="885">
        <v>18890.28</v>
      </c>
      <c r="G161" s="885"/>
      <c r="H161" s="885"/>
      <c r="I161" s="885">
        <v>150000</v>
      </c>
      <c r="J161" s="885"/>
      <c r="K161" s="884">
        <v>150000</v>
      </c>
      <c r="L161" s="885"/>
      <c r="M161" s="885"/>
      <c r="N161" s="884">
        <v>150000</v>
      </c>
      <c r="O161" s="927"/>
      <c r="P161" s="927"/>
      <c r="Q161" s="884">
        <v>150000</v>
      </c>
      <c r="R161" s="927"/>
      <c r="S161" s="927"/>
      <c r="T161" s="1292">
        <f>F161+K161</f>
        <v>168890.28</v>
      </c>
      <c r="U161" s="421"/>
      <c r="V161" s="422"/>
      <c r="X161" s="414">
        <f t="shared" si="22"/>
      </c>
      <c r="Y161" s="414">
        <f t="shared" si="23"/>
      </c>
      <c r="Z161" s="414">
        <f t="shared" si="24"/>
      </c>
    </row>
    <row r="162" spans="1:26" ht="30" customHeight="1" thickBot="1">
      <c r="A162" s="1307" t="s">
        <v>624</v>
      </c>
      <c r="B162" s="1308"/>
      <c r="C162" s="1308"/>
      <c r="D162" s="1308"/>
      <c r="E162" s="1309"/>
      <c r="F162" s="892">
        <f aca="true" t="shared" si="38" ref="F162:V162">SUM(F159:F161)</f>
        <v>19982.6</v>
      </c>
      <c r="G162" s="892">
        <f t="shared" si="38"/>
        <v>0</v>
      </c>
      <c r="H162" s="892">
        <f t="shared" si="38"/>
        <v>0</v>
      </c>
      <c r="I162" s="892">
        <f t="shared" si="38"/>
        <v>220000</v>
      </c>
      <c r="J162" s="892">
        <f t="shared" si="38"/>
        <v>0</v>
      </c>
      <c r="K162" s="892">
        <f t="shared" si="38"/>
        <v>220000</v>
      </c>
      <c r="L162" s="892">
        <f t="shared" si="38"/>
        <v>0</v>
      </c>
      <c r="M162" s="892">
        <f t="shared" si="38"/>
        <v>0</v>
      </c>
      <c r="N162" s="892">
        <f t="shared" si="38"/>
        <v>220000</v>
      </c>
      <c r="O162" s="892">
        <f t="shared" si="38"/>
        <v>0</v>
      </c>
      <c r="P162" s="892">
        <f t="shared" si="38"/>
        <v>0</v>
      </c>
      <c r="Q162" s="892">
        <f t="shared" si="38"/>
        <v>220000</v>
      </c>
      <c r="R162" s="892">
        <f t="shared" si="38"/>
        <v>0</v>
      </c>
      <c r="S162" s="892">
        <f t="shared" si="38"/>
        <v>0</v>
      </c>
      <c r="T162" s="814">
        <f t="shared" si="38"/>
        <v>239982.6</v>
      </c>
      <c r="U162" s="427">
        <f t="shared" si="38"/>
        <v>0</v>
      </c>
      <c r="V162" s="428">
        <f t="shared" si="38"/>
        <v>0</v>
      </c>
      <c r="X162" s="414">
        <f t="shared" si="22"/>
      </c>
      <c r="Y162" s="414">
        <f t="shared" si="23"/>
      </c>
      <c r="Z162" s="414">
        <f t="shared" si="24"/>
      </c>
    </row>
    <row r="163" spans="1:26" s="553" customFormat="1" ht="30" customHeight="1" thickBot="1">
      <c r="A163" s="1317" t="s">
        <v>82</v>
      </c>
      <c r="B163" s="1318"/>
      <c r="C163" s="1318"/>
      <c r="D163" s="1318"/>
      <c r="E163" s="1318"/>
      <c r="F163" s="1077">
        <f aca="true" t="shared" si="39" ref="F163:V163">F158+F162</f>
        <v>158167.34999999998</v>
      </c>
      <c r="G163" s="1077">
        <f t="shared" si="39"/>
        <v>0</v>
      </c>
      <c r="H163" s="1077">
        <f t="shared" si="39"/>
        <v>0</v>
      </c>
      <c r="I163" s="1077">
        <f t="shared" si="39"/>
        <v>815200</v>
      </c>
      <c r="J163" s="1077">
        <f t="shared" si="39"/>
        <v>0</v>
      </c>
      <c r="K163" s="1077">
        <f t="shared" si="39"/>
        <v>815200</v>
      </c>
      <c r="L163" s="1077">
        <f t="shared" si="39"/>
        <v>0</v>
      </c>
      <c r="M163" s="1077">
        <f t="shared" si="39"/>
        <v>0</v>
      </c>
      <c r="N163" s="1077">
        <f t="shared" si="39"/>
        <v>815200</v>
      </c>
      <c r="O163" s="1077">
        <f t="shared" si="39"/>
        <v>0</v>
      </c>
      <c r="P163" s="1077">
        <f t="shared" si="39"/>
        <v>0</v>
      </c>
      <c r="Q163" s="1077">
        <f t="shared" si="39"/>
        <v>815200</v>
      </c>
      <c r="R163" s="1077">
        <f t="shared" si="39"/>
        <v>0</v>
      </c>
      <c r="S163" s="1077">
        <f t="shared" si="39"/>
        <v>0</v>
      </c>
      <c r="T163" s="1058">
        <f t="shared" si="39"/>
        <v>973367.35</v>
      </c>
      <c r="U163" s="552">
        <f t="shared" si="39"/>
        <v>0</v>
      </c>
      <c r="V163" s="551">
        <f t="shared" si="39"/>
        <v>0</v>
      </c>
      <c r="X163" s="414">
        <f t="shared" si="22"/>
      </c>
      <c r="Y163" s="414">
        <f t="shared" si="23"/>
      </c>
      <c r="Z163" s="414">
        <f t="shared" si="24"/>
      </c>
    </row>
    <row r="164" spans="1:26" s="433" customFormat="1" ht="9.75" customHeight="1" thickBot="1">
      <c r="A164" s="554"/>
      <c r="B164" s="522"/>
      <c r="C164" s="522"/>
      <c r="D164" s="555"/>
      <c r="E164" s="522"/>
      <c r="F164" s="522"/>
      <c r="G164" s="522"/>
      <c r="H164" s="522"/>
      <c r="I164" s="749"/>
      <c r="J164" s="901"/>
      <c r="K164" s="823"/>
      <c r="L164" s="823"/>
      <c r="M164" s="823"/>
      <c r="N164" s="823"/>
      <c r="T164" s="823"/>
      <c r="X164" s="414"/>
      <c r="Y164" s="414">
        <f t="shared" si="23"/>
      </c>
      <c r="Z164" s="414">
        <f t="shared" si="24"/>
      </c>
    </row>
    <row r="165" spans="1:26" s="433" customFormat="1" ht="30" customHeight="1" thickBot="1" thickTop="1">
      <c r="A165" s="1315" t="s">
        <v>135</v>
      </c>
      <c r="B165" s="1316"/>
      <c r="C165" s="1316"/>
      <c r="D165" s="1316"/>
      <c r="E165" s="1316"/>
      <c r="F165" s="902">
        <f>F17+F47+F79+F128+F142+F147+F163</f>
        <v>5404186.72</v>
      </c>
      <c r="G165" s="556">
        <f>G17+G47+G79+G128+G142+G147+G163</f>
        <v>0</v>
      </c>
      <c r="H165" s="556">
        <f>H17+H47+H79+H128+H142+H147+H163</f>
        <v>0</v>
      </c>
      <c r="I165" s="902">
        <f aca="true" t="shared" si="40" ref="I165:V165">I17+I47+I79+I128+I133+I142+I147+I163</f>
        <v>8647415.82</v>
      </c>
      <c r="J165" s="902">
        <f t="shared" si="40"/>
        <v>0</v>
      </c>
      <c r="K165" s="902">
        <f t="shared" si="40"/>
        <v>5160970</v>
      </c>
      <c r="L165" s="902">
        <f t="shared" si="40"/>
        <v>0</v>
      </c>
      <c r="M165" s="902">
        <f t="shared" si="40"/>
        <v>0</v>
      </c>
      <c r="N165" s="902">
        <f t="shared" si="40"/>
        <v>5272470</v>
      </c>
      <c r="O165" s="556">
        <f t="shared" si="40"/>
        <v>0</v>
      </c>
      <c r="P165" s="556">
        <f t="shared" si="40"/>
        <v>0</v>
      </c>
      <c r="Q165" s="556">
        <f t="shared" si="40"/>
        <v>4301470</v>
      </c>
      <c r="R165" s="556">
        <f t="shared" si="40"/>
        <v>0</v>
      </c>
      <c r="S165" s="556">
        <f t="shared" si="40"/>
        <v>0</v>
      </c>
      <c r="T165" s="556">
        <f t="shared" si="40"/>
        <v>10565156.719999999</v>
      </c>
      <c r="U165" s="557">
        <f t="shared" si="40"/>
        <v>0</v>
      </c>
      <c r="V165" s="558">
        <f t="shared" si="40"/>
        <v>0</v>
      </c>
      <c r="W165" s="559"/>
      <c r="X165" s="414">
        <f t="shared" si="22"/>
      </c>
      <c r="Y165" s="414">
        <f t="shared" si="23"/>
      </c>
      <c r="Z165" s="414">
        <f t="shared" si="24"/>
      </c>
    </row>
    <row r="166" spans="5:25" s="464" customFormat="1" ht="30" customHeight="1" thickBot="1" thickTop="1">
      <c r="E166" s="560" t="s">
        <v>462</v>
      </c>
      <c r="F166" s="561"/>
      <c r="G166" s="562"/>
      <c r="I166" s="903">
        <v>98408.63</v>
      </c>
      <c r="J166" s="821"/>
      <c r="K166" s="904"/>
      <c r="L166" s="905"/>
      <c r="M166" s="906"/>
      <c r="N166" s="907">
        <v>0</v>
      </c>
      <c r="O166" s="563"/>
      <c r="P166" s="564"/>
      <c r="Q166" s="565">
        <v>0</v>
      </c>
      <c r="R166" s="566"/>
      <c r="S166" s="566"/>
      <c r="T166" s="1290"/>
      <c r="X166" s="389"/>
      <c r="Y166" s="389"/>
    </row>
    <row r="167" spans="5:25" s="464" customFormat="1" ht="30" customHeight="1" thickBot="1">
      <c r="E167" s="567" t="s">
        <v>463</v>
      </c>
      <c r="F167" s="568"/>
      <c r="G167" s="426"/>
      <c r="I167" s="908">
        <v>919050.93</v>
      </c>
      <c r="J167" s="821"/>
      <c r="K167" s="814"/>
      <c r="L167" s="905"/>
      <c r="M167" s="909"/>
      <c r="N167" s="814">
        <v>0</v>
      </c>
      <c r="O167" s="563"/>
      <c r="P167" s="569"/>
      <c r="Q167" s="463">
        <v>0</v>
      </c>
      <c r="R167" s="566"/>
      <c r="S167" s="566"/>
      <c r="T167" s="824"/>
      <c r="X167" s="389"/>
      <c r="Y167" s="389"/>
    </row>
    <row r="168" spans="5:25" s="464" customFormat="1" ht="30" customHeight="1" thickBot="1">
      <c r="E168" s="567" t="s">
        <v>337</v>
      </c>
      <c r="F168" s="568"/>
      <c r="G168" s="426"/>
      <c r="I168" s="908">
        <v>0</v>
      </c>
      <c r="J168" s="821"/>
      <c r="K168" s="814">
        <v>0</v>
      </c>
      <c r="L168" s="905"/>
      <c r="M168" s="909"/>
      <c r="N168" s="814">
        <v>0</v>
      </c>
      <c r="O168" s="563"/>
      <c r="P168" s="569"/>
      <c r="Q168" s="463">
        <v>0</v>
      </c>
      <c r="R168" s="566"/>
      <c r="S168" s="566"/>
      <c r="T168" s="824"/>
      <c r="X168" s="389"/>
      <c r="Y168" s="389"/>
    </row>
    <row r="169" spans="1:25" s="464" customFormat="1" ht="30" customHeight="1" thickBot="1">
      <c r="A169" s="570"/>
      <c r="B169" s="570"/>
      <c r="C169" s="570"/>
      <c r="D169" s="389"/>
      <c r="E169" s="567" t="s">
        <v>338</v>
      </c>
      <c r="F169" s="568"/>
      <c r="G169" s="426"/>
      <c r="I169" s="908">
        <v>102336</v>
      </c>
      <c r="J169" s="821"/>
      <c r="K169" s="814">
        <v>0</v>
      </c>
      <c r="L169" s="905"/>
      <c r="M169" s="909"/>
      <c r="N169" s="814">
        <v>0</v>
      </c>
      <c r="O169" s="563"/>
      <c r="P169" s="569"/>
      <c r="Q169" s="463">
        <v>0</v>
      </c>
      <c r="R169" s="566"/>
      <c r="S169" s="566"/>
      <c r="T169" s="824"/>
      <c r="X169" s="389"/>
      <c r="Y169" s="389"/>
    </row>
    <row r="170" spans="1:25" s="576" customFormat="1" ht="30" customHeight="1" thickBot="1">
      <c r="A170" s="571"/>
      <c r="B170" s="571"/>
      <c r="C170" s="571"/>
      <c r="D170" s="572"/>
      <c r="E170" s="573" t="s">
        <v>135</v>
      </c>
      <c r="F170" s="574"/>
      <c r="G170" s="575">
        <f>G165+G166+G167+G169</f>
        <v>0</v>
      </c>
      <c r="I170" s="910">
        <f>I165+I166+I167+I168+I169</f>
        <v>9767211.38</v>
      </c>
      <c r="J170" s="911"/>
      <c r="K170" s="912">
        <f>K165+K166+K167+K168+K169</f>
        <v>5160970</v>
      </c>
      <c r="L170" s="913"/>
      <c r="M170" s="825"/>
      <c r="N170" s="912">
        <f>N165+N166+N167+N168+N169</f>
        <v>5272470</v>
      </c>
      <c r="O170" s="577"/>
      <c r="P170" s="578"/>
      <c r="Q170" s="579">
        <f>Q165+Q166+Q167+Q168+Q169</f>
        <v>4301470</v>
      </c>
      <c r="R170" s="580"/>
      <c r="T170" s="825"/>
      <c r="X170" s="572"/>
      <c r="Y170" s="572"/>
    </row>
    <row r="171" spans="6:11" ht="30" customHeight="1">
      <c r="F171" s="1286"/>
      <c r="K171" s="914"/>
    </row>
    <row r="172" spans="9:11" ht="30" customHeight="1">
      <c r="I172" s="914"/>
      <c r="K172" s="914"/>
    </row>
    <row r="173" spans="9:14" ht="30" customHeight="1">
      <c r="I173" s="914"/>
      <c r="K173" s="915"/>
      <c r="N173" s="914"/>
    </row>
    <row r="174" spans="9:14" ht="30" customHeight="1">
      <c r="I174" s="914"/>
      <c r="N174" s="914"/>
    </row>
    <row r="175" spans="9:14" ht="30" customHeight="1">
      <c r="I175" s="914"/>
      <c r="N175" s="914"/>
    </row>
    <row r="176" spans="9:14" ht="30" customHeight="1">
      <c r="I176" s="914"/>
      <c r="N176" s="914"/>
    </row>
    <row r="177" ht="30" customHeight="1">
      <c r="I177" s="916"/>
    </row>
    <row r="178" ht="30" customHeight="1"/>
    <row r="179" ht="30" customHeight="1">
      <c r="I179" s="916"/>
    </row>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sheetData>
  <sheetProtection formatRows="0" insertColumns="0" insertRows="0" insertHyperlinks="0" deleteColumns="0" deleteRows="0" sort="0" autoFilter="0" pivotTables="0"/>
  <mergeCells count="35">
    <mergeCell ref="A46:E46"/>
    <mergeCell ref="A63:E63"/>
    <mergeCell ref="A67:E67"/>
    <mergeCell ref="A70:E70"/>
    <mergeCell ref="A78:E78"/>
    <mergeCell ref="A121:E121"/>
    <mergeCell ref="A80:V80"/>
    <mergeCell ref="A79:E79"/>
    <mergeCell ref="A1:I1"/>
    <mergeCell ref="A2:I2"/>
    <mergeCell ref="A3:C3"/>
    <mergeCell ref="A18:V18"/>
    <mergeCell ref="A48:V48"/>
    <mergeCell ref="A4:S4"/>
    <mergeCell ref="A14:E14"/>
    <mergeCell ref="A16:E16"/>
    <mergeCell ref="A17:E17"/>
    <mergeCell ref="A47:E47"/>
    <mergeCell ref="A165:E165"/>
    <mergeCell ref="A147:E147"/>
    <mergeCell ref="A163:E163"/>
    <mergeCell ref="A142:E142"/>
    <mergeCell ref="A148:V148"/>
    <mergeCell ref="A130:V130"/>
    <mergeCell ref="A133:E133"/>
    <mergeCell ref="A146:E146"/>
    <mergeCell ref="A158:E158"/>
    <mergeCell ref="A162:E162"/>
    <mergeCell ref="A123:E123"/>
    <mergeCell ref="A125:E125"/>
    <mergeCell ref="A127:E127"/>
    <mergeCell ref="A143:V143"/>
    <mergeCell ref="A128:E128"/>
    <mergeCell ref="A135:V135"/>
    <mergeCell ref="A141:E141"/>
  </mergeCells>
  <printOptions horizontalCentered="1" verticalCentered="1"/>
  <pageMargins left="0" right="0" top="0.1968503937007874" bottom="0.1968503937007874" header="0.31496062992125984" footer="0.31496062992125984"/>
  <pageSetup horizontalDpi="600" verticalDpi="600" orientation="landscape" paperSize="8" scale="75" r:id="rId3"/>
  <rowBreaks count="6" manualBreakCount="6">
    <brk id="17" max="18" man="1"/>
    <brk id="47" max="18" man="1"/>
    <brk id="63" max="18" man="1"/>
    <brk id="79" max="18" man="1"/>
    <brk id="134" max="255" man="1"/>
    <brk id="147" max="18" man="1"/>
  </rowBreaks>
  <legacyDrawing r:id="rId2"/>
</worksheet>
</file>

<file path=xl/worksheets/sheet10.xml><?xml version="1.0" encoding="utf-8"?>
<worksheet xmlns="http://schemas.openxmlformats.org/spreadsheetml/2006/main" xmlns:r="http://schemas.openxmlformats.org/officeDocument/2006/relationships">
  <dimension ref="A1:N63"/>
  <sheetViews>
    <sheetView showGridLines="0" zoomScalePageLayoutView="0" workbookViewId="0" topLeftCell="A1">
      <selection activeCell="B7" sqref="B7"/>
    </sheetView>
  </sheetViews>
  <sheetFormatPr defaultColWidth="9.140625" defaultRowHeight="12.75"/>
  <cols>
    <col min="1" max="1" width="5.421875" style="0" customWidth="1"/>
    <col min="2" max="2" width="84.57421875" style="0" customWidth="1"/>
    <col min="3" max="3" width="22.28125" style="0" customWidth="1"/>
  </cols>
  <sheetData>
    <row r="1" spans="1:12" ht="18">
      <c r="A1" s="1452" t="s">
        <v>517</v>
      </c>
      <c r="B1" s="1452"/>
      <c r="C1" s="1452"/>
      <c r="D1" s="1146"/>
      <c r="E1" s="1146"/>
      <c r="F1" s="1146"/>
      <c r="G1" s="1146"/>
      <c r="H1" s="1146"/>
      <c r="I1" s="1146"/>
      <c r="J1" s="1146"/>
      <c r="K1" s="1146"/>
      <c r="L1" s="1146"/>
    </row>
    <row r="2" spans="1:3" ht="18">
      <c r="A2" s="1145"/>
      <c r="B2" s="1147"/>
      <c r="C2" s="1145"/>
    </row>
    <row r="3" spans="1:14" ht="39" customHeight="1">
      <c r="A3" s="1453" t="s">
        <v>573</v>
      </c>
      <c r="B3" s="1453"/>
      <c r="C3" s="1453"/>
      <c r="D3" s="1148"/>
      <c r="E3" s="1148"/>
      <c r="F3" s="1148"/>
      <c r="G3" s="1148"/>
      <c r="H3" s="1148"/>
      <c r="I3" s="1148"/>
      <c r="J3" s="1148"/>
      <c r="K3" s="1148"/>
      <c r="L3" s="1148"/>
      <c r="M3" s="1148"/>
      <c r="N3" s="1148"/>
    </row>
    <row r="4" spans="1:3" ht="15" thickBot="1">
      <c r="A4" s="1149"/>
      <c r="B4" s="1150"/>
      <c r="C4" s="1149"/>
    </row>
    <row r="5" spans="1:3" ht="15" thickBot="1" thickTop="1">
      <c r="A5" s="1151" t="s">
        <v>574</v>
      </c>
      <c r="B5" s="1152"/>
      <c r="C5" s="1153"/>
    </row>
    <row r="6" spans="1:3" ht="15.75" thickTop="1">
      <c r="A6" s="1154" t="s">
        <v>383</v>
      </c>
      <c r="B6" s="1155" t="s">
        <v>575</v>
      </c>
      <c r="C6" s="329">
        <v>0</v>
      </c>
    </row>
    <row r="7" spans="1:3" ht="15">
      <c r="A7" s="1154" t="s">
        <v>383</v>
      </c>
      <c r="B7" s="1155" t="s">
        <v>576</v>
      </c>
      <c r="C7" s="329">
        <v>0</v>
      </c>
    </row>
    <row r="8" spans="1:3" ht="15">
      <c r="A8" s="1154" t="s">
        <v>383</v>
      </c>
      <c r="B8" s="1156" t="s">
        <v>577</v>
      </c>
      <c r="C8" s="1119">
        <v>0</v>
      </c>
    </row>
    <row r="9" spans="1:3" ht="15">
      <c r="A9" s="1154" t="s">
        <v>385</v>
      </c>
      <c r="B9" s="1156" t="s">
        <v>578</v>
      </c>
      <c r="C9" s="1119">
        <v>0</v>
      </c>
    </row>
    <row r="10" spans="1:3" ht="16.5">
      <c r="A10" s="1154" t="s">
        <v>385</v>
      </c>
      <c r="B10" s="1156" t="s">
        <v>579</v>
      </c>
      <c r="C10" s="1119">
        <v>0</v>
      </c>
    </row>
    <row r="11" spans="1:3" ht="16.5">
      <c r="A11" s="1154" t="s">
        <v>383</v>
      </c>
      <c r="B11" s="1156" t="s">
        <v>580</v>
      </c>
      <c r="C11" s="1119">
        <v>0</v>
      </c>
    </row>
    <row r="12" spans="1:3" ht="16.5">
      <c r="A12" s="1154" t="s">
        <v>383</v>
      </c>
      <c r="B12" s="1156" t="s">
        <v>581</v>
      </c>
      <c r="C12" s="1119">
        <v>0</v>
      </c>
    </row>
    <row r="13" spans="1:3" ht="28.5">
      <c r="A13" s="1157" t="s">
        <v>518</v>
      </c>
      <c r="B13" s="1155" t="s">
        <v>582</v>
      </c>
      <c r="C13" s="329">
        <f>+C6+C7+C8+-C9-C10+C11+C12</f>
        <v>0</v>
      </c>
    </row>
    <row r="14" spans="1:3" ht="15">
      <c r="A14" s="1158"/>
      <c r="B14" s="1156"/>
      <c r="C14" s="330"/>
    </row>
    <row r="15" spans="1:3" ht="15">
      <c r="A15" s="1154" t="s">
        <v>519</v>
      </c>
      <c r="B15" s="1156" t="s">
        <v>583</v>
      </c>
      <c r="C15" s="1119">
        <v>0</v>
      </c>
    </row>
    <row r="16" spans="1:3" ht="15">
      <c r="A16" s="1154" t="s">
        <v>520</v>
      </c>
      <c r="B16" s="1156" t="s">
        <v>584</v>
      </c>
      <c r="C16" s="1119">
        <v>0</v>
      </c>
    </row>
    <row r="17" spans="1:3" ht="15">
      <c r="A17" s="1154" t="s">
        <v>520</v>
      </c>
      <c r="B17" s="1156" t="s">
        <v>585</v>
      </c>
      <c r="C17" s="1119">
        <v>0</v>
      </c>
    </row>
    <row r="18" spans="1:3" ht="15">
      <c r="A18" s="1154" t="s">
        <v>519</v>
      </c>
      <c r="B18" s="1156" t="s">
        <v>586</v>
      </c>
      <c r="C18" s="1119">
        <v>0</v>
      </c>
    </row>
    <row r="19" spans="1:3" ht="15">
      <c r="A19" s="1154" t="s">
        <v>519</v>
      </c>
      <c r="B19" s="1156" t="s">
        <v>587</v>
      </c>
      <c r="C19" s="1119">
        <v>0</v>
      </c>
    </row>
    <row r="20" spans="1:3" ht="16.5">
      <c r="A20" s="1154" t="s">
        <v>520</v>
      </c>
      <c r="B20" s="1156" t="s">
        <v>588</v>
      </c>
      <c r="C20" s="1119">
        <v>0</v>
      </c>
    </row>
    <row r="21" spans="1:3" ht="16.5" thickBot="1">
      <c r="A21" s="1159" t="s">
        <v>518</v>
      </c>
      <c r="B21" s="1160" t="s">
        <v>793</v>
      </c>
      <c r="C21" s="1161">
        <f>+C13+C15-C16-C17+C18+C19-C20</f>
        <v>0</v>
      </c>
    </row>
    <row r="22" spans="1:3" ht="15" thickBot="1" thickTop="1">
      <c r="A22" s="1116"/>
      <c r="B22" s="1156"/>
      <c r="C22" s="1162"/>
    </row>
    <row r="23" spans="1:3" ht="16.5" customHeight="1" thickBot="1" thickTop="1">
      <c r="A23" s="1454" t="s">
        <v>589</v>
      </c>
      <c r="B23" s="1455"/>
      <c r="C23" s="1153"/>
    </row>
    <row r="24" spans="1:3" ht="15" thickTop="1">
      <c r="A24" s="1163"/>
      <c r="B24" s="1164"/>
      <c r="C24" s="1165"/>
    </row>
    <row r="25" spans="1:3" ht="16.5">
      <c r="A25" s="1166" t="s">
        <v>590</v>
      </c>
      <c r="B25" s="1164"/>
      <c r="C25" s="1165"/>
    </row>
    <row r="26" spans="1:3" ht="16.5">
      <c r="A26" s="1163"/>
      <c r="B26" s="1167" t="s">
        <v>591</v>
      </c>
      <c r="C26" s="1119">
        <v>0</v>
      </c>
    </row>
    <row r="27" spans="1:3" ht="16.5">
      <c r="A27" s="1163"/>
      <c r="B27" s="1167" t="s">
        <v>592</v>
      </c>
      <c r="C27" s="1119">
        <v>0</v>
      </c>
    </row>
    <row r="28" spans="1:3" ht="16.5">
      <c r="A28" s="1163"/>
      <c r="B28" s="1168" t="s">
        <v>794</v>
      </c>
      <c r="C28" s="1119">
        <v>0</v>
      </c>
    </row>
    <row r="29" spans="1:3" ht="16.5">
      <c r="A29" s="1163"/>
      <c r="B29" s="1167" t="s">
        <v>593</v>
      </c>
      <c r="C29" s="1119">
        <v>0</v>
      </c>
    </row>
    <row r="30" spans="1:3" ht="16.5">
      <c r="A30" s="1163"/>
      <c r="B30" s="1167" t="s">
        <v>594</v>
      </c>
      <c r="C30" s="1119">
        <v>0</v>
      </c>
    </row>
    <row r="31" spans="1:3" ht="16.5">
      <c r="A31" s="1163"/>
      <c r="B31" s="1167" t="s">
        <v>595</v>
      </c>
      <c r="C31" s="1119">
        <v>0</v>
      </c>
    </row>
    <row r="32" spans="1:3" ht="14.25">
      <c r="A32" s="1163"/>
      <c r="B32" s="1169" t="s">
        <v>521</v>
      </c>
      <c r="C32" s="1170">
        <f>+SUM(C26:C31)</f>
        <v>0</v>
      </c>
    </row>
    <row r="33" spans="1:3" ht="14.25">
      <c r="A33" s="1116"/>
      <c r="B33" s="1156"/>
      <c r="C33" s="331"/>
    </row>
    <row r="34" spans="1:3" ht="14.25">
      <c r="A34" s="1166" t="s">
        <v>522</v>
      </c>
      <c r="B34" s="1156"/>
      <c r="C34" s="331"/>
    </row>
    <row r="35" spans="1:3" ht="14.25">
      <c r="A35" s="1116" t="s">
        <v>523</v>
      </c>
      <c r="B35" s="1156"/>
      <c r="C35" s="1119">
        <v>0</v>
      </c>
    </row>
    <row r="36" spans="1:3" ht="14.25">
      <c r="A36" s="1116" t="s">
        <v>524</v>
      </c>
      <c r="B36" s="1156"/>
      <c r="C36" s="1119">
        <v>0</v>
      </c>
    </row>
    <row r="37" spans="1:3" ht="14.25">
      <c r="A37" s="1116" t="s">
        <v>525</v>
      </c>
      <c r="B37" s="1156"/>
      <c r="C37" s="1119">
        <v>0</v>
      </c>
    </row>
    <row r="38" spans="1:3" ht="14.25">
      <c r="A38" s="1116" t="s">
        <v>526</v>
      </c>
      <c r="B38" s="1156"/>
      <c r="C38" s="1119">
        <v>0</v>
      </c>
    </row>
    <row r="39" spans="1:3" ht="14.25">
      <c r="A39" s="1116" t="s">
        <v>596</v>
      </c>
      <c r="B39" s="1156"/>
      <c r="C39" s="1119">
        <v>0</v>
      </c>
    </row>
    <row r="40" spans="1:3" ht="14.25">
      <c r="A40" s="1116"/>
      <c r="B40" s="1169" t="s">
        <v>527</v>
      </c>
      <c r="C40" s="1170">
        <f>+SUM(C35:C39)</f>
        <v>0</v>
      </c>
    </row>
    <row r="41" spans="1:3" ht="14.25">
      <c r="A41" s="1116"/>
      <c r="B41" s="1169"/>
      <c r="C41" s="1171"/>
    </row>
    <row r="42" spans="1:3" ht="14.25">
      <c r="A42" s="1172" t="s">
        <v>528</v>
      </c>
      <c r="B42" s="1169"/>
      <c r="C42" s="1173"/>
    </row>
    <row r="43" spans="1:3" ht="14.25">
      <c r="A43" s="1116"/>
      <c r="B43" s="1169" t="s">
        <v>529</v>
      </c>
      <c r="C43" s="1170">
        <v>0</v>
      </c>
    </row>
    <row r="44" spans="1:3" ht="16.5" customHeight="1">
      <c r="A44" s="1116"/>
      <c r="B44" s="1169" t="s">
        <v>530</v>
      </c>
      <c r="C44" s="1170">
        <f>+C21-C32-C40-C43</f>
        <v>0</v>
      </c>
    </row>
    <row r="45" spans="1:3" ht="16.5" customHeight="1">
      <c r="A45" s="1116"/>
      <c r="B45" s="1174" t="s">
        <v>795</v>
      </c>
      <c r="C45" s="1175">
        <v>0</v>
      </c>
    </row>
    <row r="46" spans="1:3" ht="15.75" customHeight="1" thickBot="1">
      <c r="A46" s="1456" t="s">
        <v>796</v>
      </c>
      <c r="B46" s="1457"/>
      <c r="C46" s="1458"/>
    </row>
    <row r="47" spans="1:3" ht="15" thickBot="1" thickTop="1">
      <c r="A47" s="1116"/>
      <c r="B47" s="1176"/>
      <c r="C47" s="1153"/>
    </row>
    <row r="48" spans="1:3" ht="15" thickBot="1" thickTop="1">
      <c r="A48" s="1454" t="s">
        <v>797</v>
      </c>
      <c r="B48" s="1455"/>
      <c r="C48" s="1177"/>
    </row>
    <row r="49" spans="1:3" ht="15" thickTop="1">
      <c r="A49" s="1459" t="s">
        <v>531</v>
      </c>
      <c r="B49" s="1460"/>
      <c r="C49" s="1178"/>
    </row>
    <row r="50" spans="1:3" ht="14.25">
      <c r="A50" s="1116" t="s">
        <v>532</v>
      </c>
      <c r="B50" s="1156"/>
      <c r="C50" s="1119">
        <v>0</v>
      </c>
    </row>
    <row r="51" spans="1:3" ht="14.25">
      <c r="A51" s="1116" t="s">
        <v>533</v>
      </c>
      <c r="B51" s="1156"/>
      <c r="C51" s="1119">
        <v>0</v>
      </c>
    </row>
    <row r="52" spans="1:3" ht="14.25">
      <c r="A52" s="1116" t="s">
        <v>534</v>
      </c>
      <c r="B52" s="1156"/>
      <c r="C52" s="1119">
        <v>0</v>
      </c>
    </row>
    <row r="53" spans="1:3" ht="14.25">
      <c r="A53" s="1116" t="s">
        <v>535</v>
      </c>
      <c r="B53" s="1156"/>
      <c r="C53" s="1119">
        <v>0</v>
      </c>
    </row>
    <row r="54" spans="1:3" ht="36.75" customHeight="1">
      <c r="A54" s="1116" t="s">
        <v>597</v>
      </c>
      <c r="B54" s="1156"/>
      <c r="C54" s="1119">
        <v>0</v>
      </c>
    </row>
    <row r="55" spans="1:3" ht="36.75" customHeight="1" thickBot="1">
      <c r="A55" s="1462" t="s">
        <v>536</v>
      </c>
      <c r="B55" s="1463"/>
      <c r="C55" s="1179">
        <f>SUM(C50:C54)</f>
        <v>0</v>
      </c>
    </row>
    <row r="56" spans="1:3" ht="15" thickTop="1">
      <c r="A56" s="1180" t="s">
        <v>537</v>
      </c>
      <c r="B56" s="1181" t="s">
        <v>538</v>
      </c>
      <c r="C56" s="1182"/>
    </row>
    <row r="57" spans="1:3" ht="12.75" customHeight="1">
      <c r="A57" s="1183" t="s">
        <v>539</v>
      </c>
      <c r="B57" s="1464" t="s">
        <v>540</v>
      </c>
      <c r="C57" s="1464"/>
    </row>
    <row r="58" spans="1:3" ht="30" customHeight="1">
      <c r="A58" s="1184" t="s">
        <v>541</v>
      </c>
      <c r="B58" s="1465" t="s">
        <v>542</v>
      </c>
      <c r="C58" s="1465"/>
    </row>
    <row r="59" spans="1:3" ht="16.5">
      <c r="A59" s="1183" t="s">
        <v>543</v>
      </c>
      <c r="B59" s="1185" t="s">
        <v>544</v>
      </c>
      <c r="C59" s="1186"/>
    </row>
    <row r="60" spans="1:3" ht="96" customHeight="1">
      <c r="A60" s="1183" t="s">
        <v>545</v>
      </c>
      <c r="B60" s="1464" t="s">
        <v>546</v>
      </c>
      <c r="C60" s="1464"/>
    </row>
    <row r="61" spans="1:3" ht="87" customHeight="1">
      <c r="A61" s="1183" t="s">
        <v>547</v>
      </c>
      <c r="B61" s="1464" t="s">
        <v>548</v>
      </c>
      <c r="C61" s="1464"/>
    </row>
    <row r="62" spans="1:3" ht="16.5">
      <c r="A62" s="1183" t="s">
        <v>549</v>
      </c>
      <c r="B62" s="1461" t="s">
        <v>798</v>
      </c>
      <c r="C62" s="1461"/>
    </row>
    <row r="63" spans="1:3" ht="69" customHeight="1">
      <c r="A63" s="1183" t="s">
        <v>799</v>
      </c>
      <c r="B63" s="1461" t="s">
        <v>800</v>
      </c>
      <c r="C63" s="1461"/>
    </row>
  </sheetData>
  <sheetProtection/>
  <mergeCells count="13">
    <mergeCell ref="B63:C63"/>
    <mergeCell ref="A55:B55"/>
    <mergeCell ref="B57:C57"/>
    <mergeCell ref="B58:C58"/>
    <mergeCell ref="B60:C60"/>
    <mergeCell ref="B61:C61"/>
    <mergeCell ref="B62:C62"/>
    <mergeCell ref="A1:C1"/>
    <mergeCell ref="A3:C3"/>
    <mergeCell ref="A23:B23"/>
    <mergeCell ref="A46:C46"/>
    <mergeCell ref="A48:B48"/>
    <mergeCell ref="A49:B49"/>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43"/>
  <sheetViews>
    <sheetView showGridLines="0" zoomScalePageLayoutView="0" workbookViewId="0" topLeftCell="D1">
      <selection activeCell="A4" sqref="A4"/>
    </sheetView>
  </sheetViews>
  <sheetFormatPr defaultColWidth="9.140625" defaultRowHeight="12.75"/>
  <cols>
    <col min="2" max="2" width="31.421875" style="0" customWidth="1"/>
    <col min="3" max="3" width="17.00390625" style="0" customWidth="1"/>
    <col min="4" max="4" width="17.7109375" style="0" customWidth="1"/>
    <col min="5" max="5" width="17.421875" style="0" customWidth="1"/>
    <col min="6" max="7" width="19.28125" style="0" customWidth="1"/>
    <col min="8" max="8" width="17.28125" style="0" customWidth="1"/>
  </cols>
  <sheetData>
    <row r="1" spans="1:8" s="1138" customFormat="1" ht="15">
      <c r="A1" s="1466" t="s">
        <v>801</v>
      </c>
      <c r="B1" s="1466"/>
      <c r="C1" s="1466"/>
      <c r="D1" s="1466"/>
      <c r="E1" s="1466"/>
      <c r="F1" s="1466"/>
      <c r="G1" s="1466"/>
      <c r="H1" s="1466"/>
    </row>
    <row r="2" spans="1:7" ht="21">
      <c r="A2" s="1467" t="s">
        <v>802</v>
      </c>
      <c r="B2" s="1467"/>
      <c r="C2" s="1467"/>
      <c r="D2" s="1467"/>
      <c r="E2" s="1467"/>
      <c r="F2" s="1467"/>
      <c r="G2" s="1467"/>
    </row>
    <row r="4" spans="1:8" ht="120">
      <c r="A4" s="1187" t="s">
        <v>803</v>
      </c>
      <c r="B4" s="1187" t="s">
        <v>804</v>
      </c>
      <c r="C4" s="1187" t="s">
        <v>805</v>
      </c>
      <c r="D4" s="1188" t="s">
        <v>806</v>
      </c>
      <c r="E4" s="1187" t="s">
        <v>807</v>
      </c>
      <c r="F4" s="1187" t="s">
        <v>808</v>
      </c>
      <c r="G4" s="1187" t="s">
        <v>809</v>
      </c>
      <c r="H4" s="1187" t="s">
        <v>810</v>
      </c>
    </row>
    <row r="5" spans="1:8" ht="30.75">
      <c r="A5" s="1189"/>
      <c r="B5" s="1189"/>
      <c r="C5" s="1190" t="s">
        <v>811</v>
      </c>
      <c r="D5" s="1190" t="s">
        <v>812</v>
      </c>
      <c r="E5" s="1190" t="s">
        <v>813</v>
      </c>
      <c r="F5" s="1190" t="s">
        <v>814</v>
      </c>
      <c r="G5" s="1191" t="s">
        <v>815</v>
      </c>
      <c r="H5" s="1191" t="s">
        <v>816</v>
      </c>
    </row>
    <row r="6" spans="1:8" ht="15">
      <c r="A6" s="1189" t="s">
        <v>817</v>
      </c>
      <c r="B6" s="1189"/>
      <c r="C6" s="1192"/>
      <c r="D6" s="1192"/>
      <c r="E6" s="1192"/>
      <c r="F6" s="1192"/>
      <c r="G6" s="1193"/>
      <c r="H6" s="1193"/>
    </row>
    <row r="7" spans="1:8" ht="15">
      <c r="A7" s="1189"/>
      <c r="B7" s="1189"/>
      <c r="C7" s="1192"/>
      <c r="D7" s="1192"/>
      <c r="E7" s="1192"/>
      <c r="F7" s="1192"/>
      <c r="G7" s="1194">
        <f>+C7+D7+E7+F7</f>
        <v>0</v>
      </c>
      <c r="H7" s="1193"/>
    </row>
    <row r="8" spans="1:8" ht="15">
      <c r="A8" s="1189"/>
      <c r="B8" s="1189"/>
      <c r="C8" s="1192"/>
      <c r="D8" s="1192"/>
      <c r="E8" s="1192"/>
      <c r="F8" s="1192"/>
      <c r="G8" s="1194">
        <f>+C8+D8+E8+F8</f>
        <v>0</v>
      </c>
      <c r="H8" s="1193"/>
    </row>
    <row r="9" spans="1:8" ht="15">
      <c r="A9" s="1189" t="s">
        <v>818</v>
      </c>
      <c r="B9" s="1189"/>
      <c r="C9" s="1194">
        <f aca="true" t="shared" si="0" ref="C9:H9">SUM(C7:C8)</f>
        <v>0</v>
      </c>
      <c r="D9" s="1194">
        <f t="shared" si="0"/>
        <v>0</v>
      </c>
      <c r="E9" s="1194">
        <f t="shared" si="0"/>
        <v>0</v>
      </c>
      <c r="F9" s="1194">
        <f t="shared" si="0"/>
        <v>0</v>
      </c>
      <c r="G9" s="1194">
        <f t="shared" si="0"/>
        <v>0</v>
      </c>
      <c r="H9" s="1194">
        <f t="shared" si="0"/>
        <v>0</v>
      </c>
    </row>
    <row r="10" spans="1:8" ht="15">
      <c r="A10" s="1189" t="s">
        <v>819</v>
      </c>
      <c r="B10" s="1189"/>
      <c r="C10" s="1192"/>
      <c r="D10" s="1192"/>
      <c r="E10" s="1192"/>
      <c r="F10" s="1192"/>
      <c r="G10" s="1193"/>
      <c r="H10" s="1193"/>
    </row>
    <row r="11" spans="1:8" ht="15">
      <c r="A11" s="1189"/>
      <c r="B11" s="1189"/>
      <c r="C11" s="1192"/>
      <c r="D11" s="1192"/>
      <c r="E11" s="1192"/>
      <c r="F11" s="1192"/>
      <c r="G11" s="1194">
        <f>+C11+D11+E11+F11</f>
        <v>0</v>
      </c>
      <c r="H11" s="1193"/>
    </row>
    <row r="12" spans="1:8" ht="15">
      <c r="A12" s="1189"/>
      <c r="B12" s="1189"/>
      <c r="C12" s="1192"/>
      <c r="D12" s="1192"/>
      <c r="E12" s="1192"/>
      <c r="F12" s="1192"/>
      <c r="G12" s="1194">
        <f>+C12+D12+E12+F12</f>
        <v>0</v>
      </c>
      <c r="H12" s="1193"/>
    </row>
    <row r="13" spans="1:8" ht="15">
      <c r="A13" s="1189"/>
      <c r="B13" s="1189"/>
      <c r="C13" s="1192"/>
      <c r="D13" s="1192"/>
      <c r="E13" s="1192"/>
      <c r="F13" s="1192"/>
      <c r="G13" s="1194">
        <f>+C13+D13+E13+F13</f>
        <v>0</v>
      </c>
      <c r="H13" s="1193"/>
    </row>
    <row r="14" spans="1:8" ht="15">
      <c r="A14" s="1189" t="s">
        <v>820</v>
      </c>
      <c r="B14" s="1189"/>
      <c r="C14" s="1194">
        <f aca="true" t="shared" si="1" ref="C14:H14">SUM(C11:C13)</f>
        <v>0</v>
      </c>
      <c r="D14" s="1194">
        <f t="shared" si="1"/>
        <v>0</v>
      </c>
      <c r="E14" s="1194">
        <f t="shared" si="1"/>
        <v>0</v>
      </c>
      <c r="F14" s="1194">
        <f t="shared" si="1"/>
        <v>0</v>
      </c>
      <c r="G14" s="1194">
        <f t="shared" si="1"/>
        <v>0</v>
      </c>
      <c r="H14" s="1194">
        <f t="shared" si="1"/>
        <v>0</v>
      </c>
    </row>
    <row r="15" spans="1:8" ht="15">
      <c r="A15" s="1189" t="s">
        <v>821</v>
      </c>
      <c r="B15" s="1189"/>
      <c r="C15" s="1192"/>
      <c r="D15" s="1192"/>
      <c r="E15" s="1192"/>
      <c r="F15" s="1192"/>
      <c r="G15" s="1193"/>
      <c r="H15" s="1193"/>
    </row>
    <row r="16" spans="1:8" ht="15">
      <c r="A16" s="1189"/>
      <c r="B16" s="1189"/>
      <c r="C16" s="1192"/>
      <c r="D16" s="1192"/>
      <c r="E16" s="1192"/>
      <c r="F16" s="1192"/>
      <c r="G16" s="1194">
        <f>+C16+D16+E16+F16</f>
        <v>0</v>
      </c>
      <c r="H16" s="1193"/>
    </row>
    <row r="17" spans="1:8" ht="15">
      <c r="A17" s="1189"/>
      <c r="B17" s="1189"/>
      <c r="C17" s="1192"/>
      <c r="D17" s="1192"/>
      <c r="E17" s="1192"/>
      <c r="F17" s="1192"/>
      <c r="G17" s="1194">
        <f>+C17+D17+E17+F17</f>
        <v>0</v>
      </c>
      <c r="H17" s="1193"/>
    </row>
    <row r="18" spans="1:8" ht="15">
      <c r="A18" s="1189" t="s">
        <v>822</v>
      </c>
      <c r="B18" s="1189"/>
      <c r="C18" s="1194">
        <f aca="true" t="shared" si="2" ref="C18:H18">SUM(C16:C17)</f>
        <v>0</v>
      </c>
      <c r="D18" s="1194">
        <f t="shared" si="2"/>
        <v>0</v>
      </c>
      <c r="E18" s="1194">
        <f t="shared" si="2"/>
        <v>0</v>
      </c>
      <c r="F18" s="1194">
        <f t="shared" si="2"/>
        <v>0</v>
      </c>
      <c r="G18" s="1194">
        <f t="shared" si="2"/>
        <v>0</v>
      </c>
      <c r="H18" s="1194">
        <f t="shared" si="2"/>
        <v>0</v>
      </c>
    </row>
    <row r="19" spans="1:8" ht="15">
      <c r="A19" s="1189" t="s">
        <v>184</v>
      </c>
      <c r="B19" s="1195"/>
      <c r="C19" s="1192"/>
      <c r="D19" s="1192"/>
      <c r="E19" s="1192"/>
      <c r="F19" s="1192"/>
      <c r="G19" s="1196"/>
      <c r="H19" s="1196"/>
    </row>
    <row r="20" spans="1:8" ht="15" customHeight="1">
      <c r="A20" s="1189"/>
      <c r="B20" s="1195"/>
      <c r="C20" s="1193"/>
      <c r="D20" s="1193"/>
      <c r="E20" s="1193"/>
      <c r="F20" s="1193"/>
      <c r="G20" s="1194">
        <f>+C20+D20+E20+F20</f>
        <v>0</v>
      </c>
      <c r="H20" s="1193"/>
    </row>
    <row r="21" spans="1:8" ht="15">
      <c r="A21" s="1189"/>
      <c r="B21" s="1195"/>
      <c r="C21" s="1193"/>
      <c r="D21" s="1189"/>
      <c r="E21" s="1193"/>
      <c r="F21" s="1189"/>
      <c r="G21" s="1194">
        <f>+C21+D21+E21+F21</f>
        <v>0</v>
      </c>
      <c r="H21" s="1193"/>
    </row>
    <row r="22" spans="1:8" ht="15">
      <c r="A22" s="1189"/>
      <c r="B22" s="1189"/>
      <c r="C22" s="1193"/>
      <c r="D22" s="1189"/>
      <c r="E22" s="1193"/>
      <c r="F22" s="1189"/>
      <c r="G22" s="1194">
        <f>+C22+D22+E22+F22</f>
        <v>0</v>
      </c>
      <c r="H22" s="1193"/>
    </row>
    <row r="23" spans="1:8" ht="15">
      <c r="A23" s="1189"/>
      <c r="B23" s="1189"/>
      <c r="C23" s="1193"/>
      <c r="D23" s="1189"/>
      <c r="E23" s="1193"/>
      <c r="F23" s="1189"/>
      <c r="G23" s="1194">
        <f>+C23+D23+E23+F23</f>
        <v>0</v>
      </c>
      <c r="H23" s="1193"/>
    </row>
    <row r="24" spans="1:8" ht="15">
      <c r="A24" s="1189" t="s">
        <v>823</v>
      </c>
      <c r="B24" s="1189"/>
      <c r="C24" s="1194">
        <f aca="true" t="shared" si="3" ref="C24:H24">SUM(C20:C23)</f>
        <v>0</v>
      </c>
      <c r="D24" s="1194">
        <f t="shared" si="3"/>
        <v>0</v>
      </c>
      <c r="E24" s="1194">
        <f t="shared" si="3"/>
        <v>0</v>
      </c>
      <c r="F24" s="1194">
        <f t="shared" si="3"/>
        <v>0</v>
      </c>
      <c r="G24" s="1194">
        <f t="shared" si="3"/>
        <v>0</v>
      </c>
      <c r="H24" s="1194">
        <f t="shared" si="3"/>
        <v>0</v>
      </c>
    </row>
    <row r="25" spans="1:8" ht="15">
      <c r="A25" s="1189" t="s">
        <v>824</v>
      </c>
      <c r="B25" s="1189"/>
      <c r="C25" s="1192"/>
      <c r="D25" s="1192"/>
      <c r="E25" s="1192"/>
      <c r="F25" s="1192"/>
      <c r="G25" s="1193"/>
      <c r="H25" s="1193"/>
    </row>
    <row r="26" spans="1:8" ht="15">
      <c r="A26" s="1189"/>
      <c r="B26" s="1189"/>
      <c r="C26" s="1192"/>
      <c r="D26" s="1192"/>
      <c r="E26" s="1192"/>
      <c r="F26" s="1192"/>
      <c r="G26" s="1194">
        <f>+C26+D26+E26+F26</f>
        <v>0</v>
      </c>
      <c r="H26" s="1193"/>
    </row>
    <row r="27" spans="1:8" ht="15">
      <c r="A27" s="1189"/>
      <c r="B27" s="1189"/>
      <c r="C27" s="1192"/>
      <c r="D27" s="1192"/>
      <c r="E27" s="1192"/>
      <c r="F27" s="1192"/>
      <c r="G27" s="1194">
        <f>+C27+D27+E27+F27</f>
        <v>0</v>
      </c>
      <c r="H27" s="1193"/>
    </row>
    <row r="28" spans="1:8" ht="15">
      <c r="A28" s="1189" t="s">
        <v>825</v>
      </c>
      <c r="B28" s="1189"/>
      <c r="C28" s="1197">
        <f aca="true" t="shared" si="4" ref="C28:H28">SUM(C26:C27)</f>
        <v>0</v>
      </c>
      <c r="D28" s="1197">
        <f t="shared" si="4"/>
        <v>0</v>
      </c>
      <c r="E28" s="1197">
        <f t="shared" si="4"/>
        <v>0</v>
      </c>
      <c r="F28" s="1197">
        <f t="shared" si="4"/>
        <v>0</v>
      </c>
      <c r="G28" s="1197">
        <f t="shared" si="4"/>
        <v>0</v>
      </c>
      <c r="H28" s="1197">
        <f t="shared" si="4"/>
        <v>0</v>
      </c>
    </row>
    <row r="29" spans="1:8" ht="18">
      <c r="A29" s="1189" t="s">
        <v>826</v>
      </c>
      <c r="B29" s="1189"/>
      <c r="C29" s="1192"/>
      <c r="D29" s="1192"/>
      <c r="E29" s="1192"/>
      <c r="F29" s="1192"/>
      <c r="G29" s="1193"/>
      <c r="H29" s="1193"/>
    </row>
    <row r="30" spans="1:8" ht="15">
      <c r="A30" s="1189"/>
      <c r="B30" s="1189"/>
      <c r="C30" s="1192"/>
      <c r="D30" s="1192"/>
      <c r="E30" s="1192"/>
      <c r="F30" s="1192"/>
      <c r="G30" s="1194">
        <f>+C30+D30+E30+F30</f>
        <v>0</v>
      </c>
      <c r="H30" s="1193"/>
    </row>
    <row r="31" spans="1:8" ht="15">
      <c r="A31" s="1189"/>
      <c r="B31" s="1189"/>
      <c r="C31" s="1192"/>
      <c r="D31" s="1192"/>
      <c r="E31" s="1192"/>
      <c r="F31" s="1192"/>
      <c r="G31" s="1194">
        <f>+C31+D31+E31+F31</f>
        <v>0</v>
      </c>
      <c r="H31" s="1193"/>
    </row>
    <row r="32" spans="1:8" ht="15">
      <c r="A32" s="1189" t="s">
        <v>827</v>
      </c>
      <c r="B32" s="1189"/>
      <c r="C32" s="1194">
        <f aca="true" t="shared" si="5" ref="C32:H32">SUM(C30:C31)</f>
        <v>0</v>
      </c>
      <c r="D32" s="1194">
        <f t="shared" si="5"/>
        <v>0</v>
      </c>
      <c r="E32" s="1194">
        <f t="shared" si="5"/>
        <v>0</v>
      </c>
      <c r="F32" s="1194">
        <f t="shared" si="5"/>
        <v>0</v>
      </c>
      <c r="G32" s="1194">
        <f t="shared" si="5"/>
        <v>0</v>
      </c>
      <c r="H32" s="1194">
        <f t="shared" si="5"/>
        <v>0</v>
      </c>
    </row>
    <row r="33" spans="1:8" ht="15">
      <c r="A33" s="1198" t="s">
        <v>828</v>
      </c>
      <c r="B33" s="1198"/>
      <c r="C33" s="1194">
        <f aca="true" t="shared" si="6" ref="C33:H33">SUM(C32,C28,C24,C18,C14,C9)</f>
        <v>0</v>
      </c>
      <c r="D33" s="1194">
        <f t="shared" si="6"/>
        <v>0</v>
      </c>
      <c r="E33" s="1194">
        <f t="shared" si="6"/>
        <v>0</v>
      </c>
      <c r="F33" s="1194">
        <f t="shared" si="6"/>
        <v>0</v>
      </c>
      <c r="G33" s="1194">
        <f t="shared" si="6"/>
        <v>0</v>
      </c>
      <c r="H33" s="1194">
        <f t="shared" si="6"/>
        <v>0</v>
      </c>
    </row>
    <row r="34" spans="1:7" ht="34.5" customHeight="1">
      <c r="A34" s="1468" t="s">
        <v>829</v>
      </c>
      <c r="B34" s="1468"/>
      <c r="C34" s="1468"/>
      <c r="D34" s="1468"/>
      <c r="E34" s="1468"/>
      <c r="F34" s="1468"/>
      <c r="G34" s="1468"/>
    </row>
    <row r="35" spans="1:7" ht="40.5" customHeight="1">
      <c r="A35" s="1468" t="s">
        <v>830</v>
      </c>
      <c r="B35" s="1468"/>
      <c r="C35" s="1468"/>
      <c r="D35" s="1468"/>
      <c r="E35" s="1468"/>
      <c r="F35" s="1468"/>
      <c r="G35" s="1468"/>
    </row>
    <row r="36" spans="1:7" ht="36.75" customHeight="1">
      <c r="A36" s="1468" t="s">
        <v>831</v>
      </c>
      <c r="B36" s="1468"/>
      <c r="C36" s="1468"/>
      <c r="D36" s="1468"/>
      <c r="E36" s="1468"/>
      <c r="F36" s="1468"/>
      <c r="G36" s="1468"/>
    </row>
    <row r="37" spans="1:7" ht="15">
      <c r="A37" s="1468" t="s">
        <v>832</v>
      </c>
      <c r="B37" s="1468"/>
      <c r="C37" s="1468"/>
      <c r="D37" s="1468"/>
      <c r="E37" s="1468"/>
      <c r="F37" s="1468"/>
      <c r="G37" s="1468"/>
    </row>
    <row r="43" ht="12">
      <c r="L43">
        <f>+L11-L37</f>
        <v>0</v>
      </c>
    </row>
  </sheetData>
  <sheetProtection/>
  <mergeCells count="6">
    <mergeCell ref="A1:H1"/>
    <mergeCell ref="A2:G2"/>
    <mergeCell ref="A34:G34"/>
    <mergeCell ref="A35:G35"/>
    <mergeCell ref="A36:G36"/>
    <mergeCell ref="A37:G3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Q50"/>
  <sheetViews>
    <sheetView showGridLines="0" zoomScale="90" zoomScaleNormal="90" zoomScalePageLayoutView="0" workbookViewId="0" topLeftCell="A1">
      <selection activeCell="F4" sqref="F4"/>
    </sheetView>
  </sheetViews>
  <sheetFormatPr defaultColWidth="9.140625" defaultRowHeight="12.75"/>
  <cols>
    <col min="2" max="2" width="0.2890625" style="0" customWidth="1"/>
    <col min="3" max="3" width="21.00390625" style="0" customWidth="1"/>
    <col min="5" max="5" width="16.7109375" style="0" customWidth="1"/>
    <col min="6" max="6" width="13.421875" style="0" customWidth="1"/>
    <col min="7" max="7" width="14.00390625" style="0" customWidth="1"/>
    <col min="8" max="8" width="16.57421875" style="0" customWidth="1"/>
    <col min="9" max="9" width="15.00390625" style="0" customWidth="1"/>
    <col min="10" max="10" width="17.28125" style="0" customWidth="1"/>
    <col min="11" max="11" width="18.140625" style="0" customWidth="1"/>
    <col min="12" max="12" width="16.00390625" style="0" customWidth="1"/>
    <col min="13" max="13" width="19.8515625" style="0" customWidth="1"/>
  </cols>
  <sheetData>
    <row r="1" spans="1:14" s="1138" customFormat="1" ht="18">
      <c r="A1" s="1469" t="s">
        <v>833</v>
      </c>
      <c r="B1" s="1469"/>
      <c r="C1" s="1469"/>
      <c r="D1" s="1469"/>
      <c r="E1" s="1469"/>
      <c r="F1" s="1469"/>
      <c r="G1" s="1469"/>
      <c r="H1" s="1469"/>
      <c r="I1" s="1469"/>
      <c r="J1" s="1469"/>
      <c r="K1" s="1469"/>
      <c r="L1" s="1469"/>
      <c r="M1" s="1469"/>
      <c r="N1" s="1199"/>
    </row>
    <row r="2" spans="1:13" ht="35.25" customHeight="1">
      <c r="A2" s="1470" t="s">
        <v>834</v>
      </c>
      <c r="B2" s="1470"/>
      <c r="C2" s="1470"/>
      <c r="D2" s="1470"/>
      <c r="E2" s="1470"/>
      <c r="F2" s="1470"/>
      <c r="G2" s="1470"/>
      <c r="H2" s="1470"/>
      <c r="I2" s="1470"/>
      <c r="J2" s="1470"/>
      <c r="K2" s="1470"/>
      <c r="L2" s="1470"/>
      <c r="M2" s="1200"/>
    </row>
    <row r="4" spans="1:13" ht="251.25" customHeight="1">
      <c r="A4" s="1471" t="s">
        <v>835</v>
      </c>
      <c r="B4" s="1471"/>
      <c r="C4" s="1188" t="s">
        <v>836</v>
      </c>
      <c r="D4" s="1188" t="s">
        <v>803</v>
      </c>
      <c r="E4" s="1188" t="s">
        <v>836</v>
      </c>
      <c r="F4" s="1188" t="s">
        <v>837</v>
      </c>
      <c r="G4" s="1188" t="s">
        <v>838</v>
      </c>
      <c r="H4" s="1188" t="s">
        <v>839</v>
      </c>
      <c r="I4" s="1188" t="s">
        <v>840</v>
      </c>
      <c r="J4" s="1188" t="s">
        <v>841</v>
      </c>
      <c r="K4" s="1188" t="s">
        <v>842</v>
      </c>
      <c r="L4" s="1188" t="s">
        <v>843</v>
      </c>
      <c r="M4" s="1188" t="s">
        <v>844</v>
      </c>
    </row>
    <row r="5" spans="1:13" ht="29.25" customHeight="1">
      <c r="A5" s="1189"/>
      <c r="B5" s="1472"/>
      <c r="C5" s="1472"/>
      <c r="D5" s="1189"/>
      <c r="E5" s="1189"/>
      <c r="F5" s="1190" t="s">
        <v>811</v>
      </c>
      <c r="G5" s="1190" t="s">
        <v>812</v>
      </c>
      <c r="H5" s="1190" t="s">
        <v>813</v>
      </c>
      <c r="I5" s="1190" t="s">
        <v>814</v>
      </c>
      <c r="J5" s="1190" t="s">
        <v>845</v>
      </c>
      <c r="K5" s="1190" t="s">
        <v>816</v>
      </c>
      <c r="L5" s="1191" t="s">
        <v>846</v>
      </c>
      <c r="M5" s="1191" t="s">
        <v>847</v>
      </c>
    </row>
    <row r="6" spans="1:13" ht="15">
      <c r="A6" s="1473" t="s">
        <v>848</v>
      </c>
      <c r="B6" s="1473"/>
      <c r="C6" s="1473"/>
      <c r="D6" s="1189"/>
      <c r="E6" s="1189"/>
      <c r="F6" s="1189"/>
      <c r="G6" s="1189"/>
      <c r="H6" s="1189"/>
      <c r="I6" s="1189"/>
      <c r="J6" s="1189"/>
      <c r="K6" s="1189"/>
      <c r="L6" s="1189"/>
      <c r="M6" s="1189"/>
    </row>
    <row r="7" spans="1:13" ht="15">
      <c r="A7" s="1189"/>
      <c r="B7" s="1474"/>
      <c r="C7" s="1474"/>
      <c r="D7" s="1189"/>
      <c r="E7" s="1201"/>
      <c r="F7" s="1189"/>
      <c r="G7" s="1189"/>
      <c r="H7" s="1189"/>
      <c r="I7" s="1189"/>
      <c r="J7" s="1189"/>
      <c r="K7" s="1189"/>
      <c r="L7" s="1193">
        <f>+F7+G7-H7-I7-J7+K7</f>
        <v>0</v>
      </c>
      <c r="M7" s="1193"/>
    </row>
    <row r="8" spans="1:13" ht="15">
      <c r="A8" s="1189"/>
      <c r="B8" s="1472"/>
      <c r="C8" s="1472"/>
      <c r="D8" s="1189"/>
      <c r="E8" s="1189"/>
      <c r="F8" s="1189"/>
      <c r="G8" s="1189"/>
      <c r="H8" s="1189"/>
      <c r="I8" s="1189"/>
      <c r="J8" s="1189"/>
      <c r="K8" s="1189"/>
      <c r="L8" s="1193">
        <f>+F8+G8-H8-I8-J8+K8</f>
        <v>0</v>
      </c>
      <c r="M8" s="1193"/>
    </row>
    <row r="9" spans="1:13" ht="15">
      <c r="A9" s="1189"/>
      <c r="B9" s="1472"/>
      <c r="C9" s="1472"/>
      <c r="D9" s="1189"/>
      <c r="E9" s="1189"/>
      <c r="F9" s="1189"/>
      <c r="G9" s="1189"/>
      <c r="H9" s="1189"/>
      <c r="I9" s="1189"/>
      <c r="J9" s="1189"/>
      <c r="K9" s="1189"/>
      <c r="L9" s="1193">
        <f>+F9+G9-H9-I9-J9+K9</f>
        <v>0</v>
      </c>
      <c r="M9" s="1193"/>
    </row>
    <row r="10" spans="1:13" ht="15">
      <c r="A10" s="1189"/>
      <c r="B10" s="1472"/>
      <c r="C10" s="1472"/>
      <c r="D10" s="1189"/>
      <c r="E10" s="1189"/>
      <c r="F10" s="1189"/>
      <c r="G10" s="1189"/>
      <c r="H10" s="1189"/>
      <c r="I10" s="1189"/>
      <c r="J10" s="1189"/>
      <c r="K10" s="1189"/>
      <c r="L10" s="1193">
        <f>+F10+G10-H10-I10-J10+K10</f>
        <v>0</v>
      </c>
      <c r="M10" s="1193"/>
    </row>
    <row r="11" spans="1:13" ht="15">
      <c r="A11" s="1472" t="s">
        <v>849</v>
      </c>
      <c r="B11" s="1472"/>
      <c r="C11" s="1472"/>
      <c r="D11" s="1472"/>
      <c r="E11" s="1189"/>
      <c r="F11" s="1202">
        <f>SUM(F7:F10)</f>
        <v>0</v>
      </c>
      <c r="G11" s="1202">
        <f aca="true" t="shared" si="0" ref="G11:M11">SUM(G7:G10)</f>
        <v>0</v>
      </c>
      <c r="H11" s="1202">
        <f t="shared" si="0"/>
        <v>0</v>
      </c>
      <c r="I11" s="1202">
        <f t="shared" si="0"/>
        <v>0</v>
      </c>
      <c r="J11" s="1202">
        <f t="shared" si="0"/>
        <v>0</v>
      </c>
      <c r="K11" s="1202">
        <f t="shared" si="0"/>
        <v>0</v>
      </c>
      <c r="L11" s="1202">
        <f t="shared" si="0"/>
        <v>0</v>
      </c>
      <c r="M11" s="1202">
        <f t="shared" si="0"/>
        <v>0</v>
      </c>
    </row>
    <row r="12" spans="1:13" ht="15">
      <c r="A12" s="1473" t="s">
        <v>850</v>
      </c>
      <c r="B12" s="1473"/>
      <c r="C12" s="1473"/>
      <c r="D12" s="1473"/>
      <c r="E12" s="1189"/>
      <c r="F12" s="1189"/>
      <c r="G12" s="1189"/>
      <c r="H12" s="1189"/>
      <c r="I12" s="1189"/>
      <c r="J12" s="1189"/>
      <c r="K12" s="1189"/>
      <c r="L12" s="1189"/>
      <c r="M12" s="1189"/>
    </row>
    <row r="13" spans="1:13" ht="15">
      <c r="A13" s="1189"/>
      <c r="B13" s="1474"/>
      <c r="C13" s="1474"/>
      <c r="D13" s="1189"/>
      <c r="E13" s="1201"/>
      <c r="F13" s="1189"/>
      <c r="G13" s="1189"/>
      <c r="H13" s="1189"/>
      <c r="I13" s="1189"/>
      <c r="J13" s="1189"/>
      <c r="K13" s="1189"/>
      <c r="L13" s="1193">
        <f>+F13+G13-H13-I13-J13+K13</f>
        <v>0</v>
      </c>
      <c r="M13" s="1193"/>
    </row>
    <row r="14" spans="1:13" ht="15">
      <c r="A14" s="1189"/>
      <c r="B14" s="1474"/>
      <c r="C14" s="1474"/>
      <c r="D14" s="1189"/>
      <c r="E14" s="1201"/>
      <c r="F14" s="1189"/>
      <c r="G14" s="1189"/>
      <c r="H14" s="1189"/>
      <c r="I14" s="1189"/>
      <c r="J14" s="1189"/>
      <c r="K14" s="1189"/>
      <c r="L14" s="1193">
        <f>+F14+G14-H14-I14-J14+K14</f>
        <v>0</v>
      </c>
      <c r="M14" s="1193"/>
    </row>
    <row r="15" spans="1:13" ht="15">
      <c r="A15" s="1189"/>
      <c r="B15" s="1474"/>
      <c r="C15" s="1474"/>
      <c r="D15" s="1189"/>
      <c r="E15" s="1189"/>
      <c r="F15" s="1189"/>
      <c r="G15" s="1189"/>
      <c r="H15" s="1189"/>
      <c r="I15" s="1189"/>
      <c r="J15" s="1189"/>
      <c r="K15" s="1189"/>
      <c r="L15" s="1193">
        <f>+F15+G15-H15-I15-J15+K15</f>
        <v>0</v>
      </c>
      <c r="M15" s="1193"/>
    </row>
    <row r="16" spans="1:13" ht="15">
      <c r="A16" s="1189"/>
      <c r="B16" s="1472"/>
      <c r="C16" s="1472"/>
      <c r="D16" s="1189"/>
      <c r="E16" s="1189"/>
      <c r="F16" s="1189"/>
      <c r="G16" s="1189"/>
      <c r="H16" s="1189"/>
      <c r="I16" s="1189"/>
      <c r="J16" s="1189"/>
      <c r="K16" s="1189"/>
      <c r="L16" s="1193">
        <f>+F16+G16-H16-I16-J16+K16</f>
        <v>0</v>
      </c>
      <c r="M16" s="1193"/>
    </row>
    <row r="17" spans="1:13" ht="15">
      <c r="A17" s="1472" t="s">
        <v>851</v>
      </c>
      <c r="B17" s="1472"/>
      <c r="C17" s="1472"/>
      <c r="D17" s="1472"/>
      <c r="E17" s="1472"/>
      <c r="F17" s="1202">
        <f>SUM(F13:F16)</f>
        <v>0</v>
      </c>
      <c r="G17" s="1202">
        <f aca="true" t="shared" si="1" ref="G17:M17">SUM(G13:G16)</f>
        <v>0</v>
      </c>
      <c r="H17" s="1202">
        <f t="shared" si="1"/>
        <v>0</v>
      </c>
      <c r="I17" s="1202">
        <f t="shared" si="1"/>
        <v>0</v>
      </c>
      <c r="J17" s="1202">
        <f t="shared" si="1"/>
        <v>0</v>
      </c>
      <c r="K17" s="1202">
        <f t="shared" si="1"/>
        <v>0</v>
      </c>
      <c r="L17" s="1202">
        <f t="shared" si="1"/>
        <v>0</v>
      </c>
      <c r="M17" s="1202">
        <f t="shared" si="1"/>
        <v>0</v>
      </c>
    </row>
    <row r="18" spans="1:13" ht="15">
      <c r="A18" s="1473" t="s">
        <v>852</v>
      </c>
      <c r="B18" s="1473"/>
      <c r="C18" s="1473"/>
      <c r="D18" s="1473"/>
      <c r="E18" s="1189"/>
      <c r="F18" s="1189"/>
      <c r="G18" s="1189"/>
      <c r="H18" s="1189"/>
      <c r="I18" s="1189"/>
      <c r="J18" s="1189"/>
      <c r="K18" s="1189"/>
      <c r="L18" s="1189"/>
      <c r="M18" s="1189"/>
    </row>
    <row r="19" spans="1:13" ht="15">
      <c r="A19" s="1189"/>
      <c r="B19" s="1472"/>
      <c r="C19" s="1472"/>
      <c r="D19" s="1189"/>
      <c r="E19" s="1189"/>
      <c r="F19" s="1189"/>
      <c r="G19" s="1189"/>
      <c r="H19" s="1189"/>
      <c r="I19" s="1189"/>
      <c r="J19" s="1189"/>
      <c r="K19" s="1189"/>
      <c r="L19" s="1193">
        <f>+F19+G19-H19-I19-J19+K19</f>
        <v>0</v>
      </c>
      <c r="M19" s="1193"/>
    </row>
    <row r="20" spans="1:13" ht="15">
      <c r="A20" s="1189"/>
      <c r="B20" s="1472"/>
      <c r="C20" s="1472"/>
      <c r="D20" s="1189"/>
      <c r="E20" s="1189"/>
      <c r="F20" s="1189"/>
      <c r="G20" s="1189"/>
      <c r="H20" s="1189"/>
      <c r="I20" s="1189"/>
      <c r="J20" s="1189"/>
      <c r="K20" s="1189"/>
      <c r="L20" s="1193">
        <f>+F20+G20-H20-I20-J20+K20</f>
        <v>0</v>
      </c>
      <c r="M20" s="1193"/>
    </row>
    <row r="21" spans="1:13" ht="15">
      <c r="A21" s="1189"/>
      <c r="B21" s="1472"/>
      <c r="C21" s="1472"/>
      <c r="D21" s="1189"/>
      <c r="E21" s="1189"/>
      <c r="F21" s="1189"/>
      <c r="G21" s="1189"/>
      <c r="H21" s="1189"/>
      <c r="I21" s="1189"/>
      <c r="J21" s="1189"/>
      <c r="K21" s="1189"/>
      <c r="L21" s="1193">
        <f>+F21+G21-H21-I21-J21+K21</f>
        <v>0</v>
      </c>
      <c r="M21" s="1193"/>
    </row>
    <row r="22" spans="1:13" ht="15">
      <c r="A22" s="1189"/>
      <c r="B22" s="1472"/>
      <c r="C22" s="1472"/>
      <c r="D22" s="1189"/>
      <c r="E22" s="1189"/>
      <c r="F22" s="1189"/>
      <c r="G22" s="1189"/>
      <c r="H22" s="1189"/>
      <c r="I22" s="1189"/>
      <c r="J22" s="1189"/>
      <c r="K22" s="1189"/>
      <c r="L22" s="1193">
        <f>+F22+G22-H22-I22-J22+K22</f>
        <v>0</v>
      </c>
      <c r="M22" s="1193"/>
    </row>
    <row r="23" spans="1:13" ht="15">
      <c r="A23" s="1472" t="s">
        <v>853</v>
      </c>
      <c r="B23" s="1472"/>
      <c r="C23" s="1472"/>
      <c r="D23" s="1472"/>
      <c r="E23" s="1472"/>
      <c r="F23" s="1202">
        <f>SUM(F19:F22)</f>
        <v>0</v>
      </c>
      <c r="G23" s="1202">
        <f aca="true" t="shared" si="2" ref="G23:M23">SUM(G19:G22)</f>
        <v>0</v>
      </c>
      <c r="H23" s="1202">
        <f t="shared" si="2"/>
        <v>0</v>
      </c>
      <c r="I23" s="1202">
        <f t="shared" si="2"/>
        <v>0</v>
      </c>
      <c r="J23" s="1202">
        <f t="shared" si="2"/>
        <v>0</v>
      </c>
      <c r="K23" s="1202">
        <f t="shared" si="2"/>
        <v>0</v>
      </c>
      <c r="L23" s="1202">
        <f t="shared" si="2"/>
        <v>0</v>
      </c>
      <c r="M23" s="1202">
        <f t="shared" si="2"/>
        <v>0</v>
      </c>
    </row>
    <row r="24" spans="1:13" ht="15">
      <c r="A24" s="1473" t="s">
        <v>854</v>
      </c>
      <c r="B24" s="1473"/>
      <c r="C24" s="1473"/>
      <c r="D24" s="1473"/>
      <c r="E24" s="1189"/>
      <c r="F24" s="1189"/>
      <c r="G24" s="1189"/>
      <c r="H24" s="1189"/>
      <c r="I24" s="1189"/>
      <c r="J24" s="1189"/>
      <c r="K24" s="1189"/>
      <c r="L24" s="1189"/>
      <c r="M24" s="1189"/>
    </row>
    <row r="25" spans="1:13" ht="15">
      <c r="A25" s="1189"/>
      <c r="B25" s="1472"/>
      <c r="C25" s="1472"/>
      <c r="D25" s="1189"/>
      <c r="E25" s="1189"/>
      <c r="F25" s="1189"/>
      <c r="G25" s="1189"/>
      <c r="H25" s="1189"/>
      <c r="I25" s="1189"/>
      <c r="J25" s="1189"/>
      <c r="K25" s="1189"/>
      <c r="L25" s="1193">
        <f>+F25+G25-H25-I25-J25+K25</f>
        <v>0</v>
      </c>
      <c r="M25" s="1193"/>
    </row>
    <row r="26" spans="1:13" ht="15">
      <c r="A26" s="1189"/>
      <c r="B26" s="1472"/>
      <c r="C26" s="1472"/>
      <c r="D26" s="1189"/>
      <c r="E26" s="1189"/>
      <c r="F26" s="1189"/>
      <c r="G26" s="1189"/>
      <c r="H26" s="1189"/>
      <c r="I26" s="1189"/>
      <c r="J26" s="1189"/>
      <c r="K26" s="1189"/>
      <c r="L26" s="1193">
        <f>+F26+G26-H26-I26-J26+K26</f>
        <v>0</v>
      </c>
      <c r="M26" s="1193"/>
    </row>
    <row r="27" spans="1:13" ht="15">
      <c r="A27" s="1189"/>
      <c r="B27" s="1472"/>
      <c r="C27" s="1472"/>
      <c r="D27" s="1189"/>
      <c r="E27" s="1189"/>
      <c r="F27" s="1189"/>
      <c r="G27" s="1189"/>
      <c r="H27" s="1189"/>
      <c r="I27" s="1189"/>
      <c r="J27" s="1189"/>
      <c r="K27" s="1189"/>
      <c r="L27" s="1193">
        <f>+F27+G27-H27-I27-J27+K27</f>
        <v>0</v>
      </c>
      <c r="M27" s="1193"/>
    </row>
    <row r="28" spans="1:13" ht="15">
      <c r="A28" s="1189"/>
      <c r="B28" s="1472"/>
      <c r="C28" s="1472"/>
      <c r="D28" s="1189"/>
      <c r="E28" s="1189"/>
      <c r="F28" s="1189"/>
      <c r="G28" s="1189"/>
      <c r="H28" s="1189"/>
      <c r="I28" s="1189"/>
      <c r="J28" s="1189"/>
      <c r="K28" s="1189"/>
      <c r="L28" s="1193">
        <f>+F28+G28-H28-I28-J28+K28</f>
        <v>0</v>
      </c>
      <c r="M28" s="1193"/>
    </row>
    <row r="29" spans="1:13" ht="15">
      <c r="A29" s="1472" t="s">
        <v>855</v>
      </c>
      <c r="B29" s="1472"/>
      <c r="C29" s="1472"/>
      <c r="D29" s="1472"/>
      <c r="E29" s="1472"/>
      <c r="F29" s="1189">
        <f>SUM(F25:F28)</f>
        <v>0</v>
      </c>
      <c r="G29" s="1189">
        <f aca="true" t="shared" si="3" ref="G29:M29">SUM(G25:G28)</f>
        <v>0</v>
      </c>
      <c r="H29" s="1189">
        <f t="shared" si="3"/>
        <v>0</v>
      </c>
      <c r="I29" s="1189">
        <f t="shared" si="3"/>
        <v>0</v>
      </c>
      <c r="J29" s="1189">
        <f t="shared" si="3"/>
        <v>0</v>
      </c>
      <c r="K29" s="1189">
        <f t="shared" si="3"/>
        <v>0</v>
      </c>
      <c r="L29" s="1189">
        <f t="shared" si="3"/>
        <v>0</v>
      </c>
      <c r="M29" s="1189">
        <f t="shared" si="3"/>
        <v>0</v>
      </c>
    </row>
    <row r="30" spans="1:13" ht="15">
      <c r="A30" s="1473" t="s">
        <v>856</v>
      </c>
      <c r="B30" s="1473"/>
      <c r="C30" s="1473"/>
      <c r="D30" s="1189"/>
      <c r="E30" s="1189"/>
      <c r="F30" s="1189"/>
      <c r="G30" s="1189"/>
      <c r="H30" s="1189"/>
      <c r="I30" s="1189"/>
      <c r="J30" s="1189"/>
      <c r="K30" s="1189"/>
      <c r="L30" s="1189"/>
      <c r="M30" s="1189"/>
    </row>
    <row r="31" spans="1:13" ht="15">
      <c r="A31" s="1189"/>
      <c r="B31" s="1472"/>
      <c r="C31" s="1472"/>
      <c r="D31" s="1189"/>
      <c r="E31" s="1189"/>
      <c r="F31" s="1189"/>
      <c r="G31" s="1189"/>
      <c r="H31" s="1189"/>
      <c r="I31" s="1189"/>
      <c r="J31" s="1189"/>
      <c r="K31" s="1189"/>
      <c r="L31" s="1193">
        <f>+F31+G31-H31-I31-J31+K31</f>
        <v>0</v>
      </c>
      <c r="M31" s="1193"/>
    </row>
    <row r="32" spans="1:13" ht="15">
      <c r="A32" s="1189"/>
      <c r="B32" s="1472"/>
      <c r="C32" s="1472"/>
      <c r="D32" s="1189"/>
      <c r="E32" s="1189"/>
      <c r="F32" s="1189"/>
      <c r="G32" s="1189"/>
      <c r="H32" s="1189"/>
      <c r="I32" s="1189"/>
      <c r="J32" s="1189"/>
      <c r="K32" s="1189"/>
      <c r="L32" s="1193">
        <f>+F32+G32-H32-I32-J32+K32</f>
        <v>0</v>
      </c>
      <c r="M32" s="1193"/>
    </row>
    <row r="33" spans="1:13" ht="15">
      <c r="A33" s="1189"/>
      <c r="B33" s="1472"/>
      <c r="C33" s="1472"/>
      <c r="D33" s="1189"/>
      <c r="E33" s="1189"/>
      <c r="F33" s="1189"/>
      <c r="G33" s="1189"/>
      <c r="H33" s="1189"/>
      <c r="I33" s="1189"/>
      <c r="J33" s="1189"/>
      <c r="K33" s="1189"/>
      <c r="L33" s="1193">
        <f>+F33+G33-H33-I33-J33+K33</f>
        <v>0</v>
      </c>
      <c r="M33" s="1193"/>
    </row>
    <row r="34" spans="1:13" ht="15">
      <c r="A34" s="1189"/>
      <c r="B34" s="1472"/>
      <c r="C34" s="1472"/>
      <c r="D34" s="1189"/>
      <c r="E34" s="1189"/>
      <c r="F34" s="1189"/>
      <c r="G34" s="1189"/>
      <c r="H34" s="1189"/>
      <c r="I34" s="1189"/>
      <c r="J34" s="1189"/>
      <c r="K34" s="1189"/>
      <c r="L34" s="1193">
        <f>+F34+G34-H34-I34-J34+K34</f>
        <v>0</v>
      </c>
      <c r="M34" s="1193"/>
    </row>
    <row r="35" spans="1:13" ht="15">
      <c r="A35" s="1472" t="s">
        <v>857</v>
      </c>
      <c r="B35" s="1472"/>
      <c r="C35" s="1472"/>
      <c r="D35" s="1189"/>
      <c r="E35" s="1189"/>
      <c r="F35" s="1189">
        <f>SUM(F31:F34)</f>
        <v>0</v>
      </c>
      <c r="G35" s="1189">
        <f aca="true" t="shared" si="4" ref="G35:M35">SUM(G31:G34)</f>
        <v>0</v>
      </c>
      <c r="H35" s="1189">
        <f t="shared" si="4"/>
        <v>0</v>
      </c>
      <c r="I35" s="1189">
        <f t="shared" si="4"/>
        <v>0</v>
      </c>
      <c r="J35" s="1189">
        <f t="shared" si="4"/>
        <v>0</v>
      </c>
      <c r="K35" s="1189">
        <f t="shared" si="4"/>
        <v>0</v>
      </c>
      <c r="L35" s="1189">
        <f t="shared" si="4"/>
        <v>0</v>
      </c>
      <c r="M35" s="1189">
        <f t="shared" si="4"/>
        <v>0</v>
      </c>
    </row>
    <row r="36" spans="1:13" ht="18">
      <c r="A36" s="1475" t="s">
        <v>858</v>
      </c>
      <c r="B36" s="1475"/>
      <c r="C36" s="1475"/>
      <c r="D36" s="1475"/>
      <c r="E36" s="1475"/>
      <c r="F36" s="1202">
        <f>+F35+F29+F23+F17+F11</f>
        <v>0</v>
      </c>
      <c r="G36" s="1202">
        <f aca="true" t="shared" si="5" ref="G36:M36">+G35+G29+G23+G17+G11</f>
        <v>0</v>
      </c>
      <c r="H36" s="1202">
        <f t="shared" si="5"/>
        <v>0</v>
      </c>
      <c r="I36" s="1202">
        <f t="shared" si="5"/>
        <v>0</v>
      </c>
      <c r="J36" s="1202">
        <f t="shared" si="5"/>
        <v>0</v>
      </c>
      <c r="K36" s="1202">
        <f t="shared" si="5"/>
        <v>0</v>
      </c>
      <c r="L36" s="1202">
        <f t="shared" si="5"/>
        <v>0</v>
      </c>
      <c r="M36" s="1202">
        <f t="shared" si="5"/>
        <v>0</v>
      </c>
    </row>
    <row r="37" spans="1:12" ht="25.5" customHeight="1">
      <c r="A37" s="1203"/>
      <c r="B37" s="1115"/>
      <c r="C37" s="1115"/>
      <c r="D37" s="1204"/>
      <c r="E37" s="1474" t="s">
        <v>859</v>
      </c>
      <c r="F37" s="1474"/>
      <c r="G37" s="1474"/>
      <c r="H37" s="1474"/>
      <c r="I37" s="1474"/>
      <c r="J37" s="1474"/>
      <c r="K37" s="1474"/>
      <c r="L37" s="1193"/>
    </row>
    <row r="38" spans="1:12" ht="25.5" customHeight="1">
      <c r="A38" s="1141"/>
      <c r="D38" s="1205"/>
      <c r="E38" s="1474" t="s">
        <v>860</v>
      </c>
      <c r="F38" s="1474"/>
      <c r="G38" s="1474"/>
      <c r="H38" s="1474"/>
      <c r="I38" s="1474"/>
      <c r="J38" s="1474"/>
      <c r="K38" s="1474"/>
      <c r="L38" s="1193"/>
    </row>
    <row r="39" spans="1:12" ht="25.5" customHeight="1">
      <c r="A39" s="1141"/>
      <c r="D39" s="1205"/>
      <c r="E39" s="1474" t="s">
        <v>861</v>
      </c>
      <c r="F39" s="1474"/>
      <c r="G39" s="1474"/>
      <c r="H39" s="1474"/>
      <c r="I39" s="1474"/>
      <c r="J39" s="1474"/>
      <c r="K39" s="1474"/>
      <c r="L39" s="1193"/>
    </row>
    <row r="40" spans="1:12" ht="25.5" customHeight="1">
      <c r="A40" s="1141"/>
      <c r="D40" s="1205"/>
      <c r="E40" s="1474" t="s">
        <v>862</v>
      </c>
      <c r="F40" s="1474"/>
      <c r="G40" s="1474"/>
      <c r="H40" s="1474"/>
      <c r="I40" s="1474"/>
      <c r="J40" s="1474"/>
      <c r="K40" s="1474"/>
      <c r="L40" s="1193"/>
    </row>
    <row r="41" spans="1:12" ht="25.5" customHeight="1">
      <c r="A41" s="1141"/>
      <c r="D41" s="1205"/>
      <c r="E41" s="1474" t="s">
        <v>863</v>
      </c>
      <c r="F41" s="1474"/>
      <c r="G41" s="1474"/>
      <c r="H41" s="1474"/>
      <c r="I41" s="1474"/>
      <c r="J41" s="1474"/>
      <c r="K41" s="1474"/>
      <c r="L41" s="1193"/>
    </row>
    <row r="42" spans="1:12" ht="25.5" customHeight="1">
      <c r="A42" s="1141"/>
      <c r="D42" s="1205"/>
      <c r="E42" s="1476" t="s">
        <v>864</v>
      </c>
      <c r="F42" s="1476"/>
      <c r="G42" s="1476"/>
      <c r="H42" s="1476"/>
      <c r="I42" s="1476"/>
      <c r="J42" s="1476"/>
      <c r="K42" s="1476"/>
      <c r="L42" s="1206">
        <f>SUM(L37:L41)</f>
        <v>0</v>
      </c>
    </row>
    <row r="43" spans="1:12" ht="25.5" customHeight="1">
      <c r="A43" s="1141"/>
      <c r="D43" s="1205"/>
      <c r="E43" s="1474" t="s">
        <v>865</v>
      </c>
      <c r="F43" s="1474"/>
      <c r="G43" s="1474"/>
      <c r="H43" s="1474"/>
      <c r="I43" s="1474"/>
      <c r="J43" s="1474"/>
      <c r="K43" s="1474"/>
      <c r="L43" s="1193">
        <f>+L11-L37</f>
        <v>0</v>
      </c>
    </row>
    <row r="44" spans="1:12" ht="25.5" customHeight="1">
      <c r="A44" s="1141"/>
      <c r="D44" s="1205"/>
      <c r="E44" s="1474" t="s">
        <v>866</v>
      </c>
      <c r="F44" s="1474"/>
      <c r="G44" s="1474"/>
      <c r="H44" s="1474"/>
      <c r="I44" s="1474"/>
      <c r="J44" s="1474"/>
      <c r="K44" s="1474"/>
      <c r="L44" s="1193">
        <f>+L17-L38</f>
        <v>0</v>
      </c>
    </row>
    <row r="45" spans="1:12" ht="25.5" customHeight="1">
      <c r="A45" s="1141"/>
      <c r="D45" s="1205"/>
      <c r="E45" s="1474" t="s">
        <v>867</v>
      </c>
      <c r="F45" s="1474"/>
      <c r="G45" s="1474"/>
      <c r="H45" s="1474"/>
      <c r="I45" s="1474"/>
      <c r="J45" s="1474"/>
      <c r="K45" s="1474"/>
      <c r="L45" s="1193">
        <f>+L23-L39</f>
        <v>0</v>
      </c>
    </row>
    <row r="46" spans="1:12" ht="25.5" customHeight="1">
      <c r="A46" s="1141"/>
      <c r="D46" s="1205"/>
      <c r="E46" s="1474" t="s">
        <v>868</v>
      </c>
      <c r="F46" s="1474"/>
      <c r="G46" s="1474"/>
      <c r="H46" s="1474"/>
      <c r="I46" s="1474"/>
      <c r="J46" s="1474"/>
      <c r="K46" s="1474"/>
      <c r="L46" s="1193">
        <f>+L29-L40</f>
        <v>0</v>
      </c>
    </row>
    <row r="47" spans="1:12" ht="25.5" customHeight="1">
      <c r="A47" s="1141"/>
      <c r="D47" s="1205"/>
      <c r="E47" s="1474" t="s">
        <v>869</v>
      </c>
      <c r="F47" s="1474"/>
      <c r="G47" s="1474"/>
      <c r="H47" s="1474"/>
      <c r="I47" s="1474"/>
      <c r="J47" s="1474"/>
      <c r="K47" s="1474"/>
      <c r="L47" s="1193">
        <f>+L35-L41</f>
        <v>0</v>
      </c>
    </row>
    <row r="48" spans="1:12" ht="25.5" customHeight="1">
      <c r="A48" s="1137"/>
      <c r="B48" s="1129"/>
      <c r="C48" s="1129"/>
      <c r="D48" s="1207"/>
      <c r="E48" s="1476" t="s">
        <v>870</v>
      </c>
      <c r="F48" s="1476"/>
      <c r="G48" s="1476"/>
      <c r="H48" s="1476"/>
      <c r="I48" s="1476"/>
      <c r="J48" s="1476"/>
      <c r="K48" s="1476"/>
      <c r="L48" s="1206">
        <f>SUM(L43:L47)</f>
        <v>0</v>
      </c>
    </row>
    <row r="49" spans="1:17" ht="16.5" customHeight="1">
      <c r="A49" s="1477" t="s">
        <v>871</v>
      </c>
      <c r="B49" s="1477"/>
      <c r="C49" s="1477"/>
      <c r="D49" s="1477"/>
      <c r="E49" s="1477"/>
      <c r="F49" s="1477"/>
      <c r="G49" s="1477"/>
      <c r="H49" s="1477"/>
      <c r="I49" s="1477"/>
      <c r="J49" s="1477"/>
      <c r="K49" s="1477"/>
      <c r="L49" s="1477"/>
      <c r="M49" s="1208"/>
      <c r="N49" s="1208"/>
      <c r="O49" s="1208"/>
      <c r="P49" s="1208"/>
      <c r="Q49" s="1208"/>
    </row>
    <row r="50" spans="1:13" ht="31.5" customHeight="1">
      <c r="A50" s="1477" t="s">
        <v>872</v>
      </c>
      <c r="B50" s="1477"/>
      <c r="C50" s="1477"/>
      <c r="D50" s="1477"/>
      <c r="E50" s="1477"/>
      <c r="F50" s="1477"/>
      <c r="G50" s="1477"/>
      <c r="H50" s="1477"/>
      <c r="I50" s="1477"/>
      <c r="J50" s="1477"/>
      <c r="K50" s="1477"/>
      <c r="L50" s="1477"/>
      <c r="M50" s="1208"/>
    </row>
  </sheetData>
  <sheetProtection/>
  <mergeCells count="49">
    <mergeCell ref="A50:L50"/>
    <mergeCell ref="E44:K44"/>
    <mergeCell ref="E45:K45"/>
    <mergeCell ref="E46:K46"/>
    <mergeCell ref="E47:K47"/>
    <mergeCell ref="E48:K48"/>
    <mergeCell ref="A49:L49"/>
    <mergeCell ref="E38:K38"/>
    <mergeCell ref="E39:K39"/>
    <mergeCell ref="E40:K40"/>
    <mergeCell ref="E41:K41"/>
    <mergeCell ref="E42:K42"/>
    <mergeCell ref="E43:K43"/>
    <mergeCell ref="B32:C32"/>
    <mergeCell ref="B33:C33"/>
    <mergeCell ref="B34:C34"/>
    <mergeCell ref="A35:C35"/>
    <mergeCell ref="A36:E36"/>
    <mergeCell ref="E37:K37"/>
    <mergeCell ref="B26:C26"/>
    <mergeCell ref="B27:C27"/>
    <mergeCell ref="B28:C28"/>
    <mergeCell ref="A29:E29"/>
    <mergeCell ref="A30:C30"/>
    <mergeCell ref="B31:C31"/>
    <mergeCell ref="B20:C20"/>
    <mergeCell ref="B21:C21"/>
    <mergeCell ref="B22:C22"/>
    <mergeCell ref="A23:E23"/>
    <mergeCell ref="A24:D24"/>
    <mergeCell ref="B25:C25"/>
    <mergeCell ref="B14:C14"/>
    <mergeCell ref="B15:C15"/>
    <mergeCell ref="B16:C16"/>
    <mergeCell ref="A17:E17"/>
    <mergeCell ref="A18:D18"/>
    <mergeCell ref="B19:C19"/>
    <mergeCell ref="B8:C8"/>
    <mergeCell ref="B9:C9"/>
    <mergeCell ref="B10:C10"/>
    <mergeCell ref="A11:D11"/>
    <mergeCell ref="A12:D12"/>
    <mergeCell ref="B13:C13"/>
    <mergeCell ref="A1:M1"/>
    <mergeCell ref="A2:L2"/>
    <mergeCell ref="A4:B4"/>
    <mergeCell ref="B5:C5"/>
    <mergeCell ref="A6:C6"/>
    <mergeCell ref="B7:C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L43"/>
  <sheetViews>
    <sheetView showGridLines="0" zoomScalePageLayoutView="0" workbookViewId="0" topLeftCell="A1">
      <selection activeCell="A4" sqref="A4"/>
    </sheetView>
  </sheetViews>
  <sheetFormatPr defaultColWidth="9.140625" defaultRowHeight="12.75"/>
  <cols>
    <col min="2" max="2" width="22.7109375" style="0" customWidth="1"/>
    <col min="4" max="4" width="15.8515625" style="0" customWidth="1"/>
    <col min="5" max="5" width="11.57421875" style="0" customWidth="1"/>
    <col min="6" max="6" width="14.7109375" style="0" customWidth="1"/>
    <col min="7" max="7" width="16.8515625" style="0" customWidth="1"/>
    <col min="8" max="8" width="18.00390625" style="0" customWidth="1"/>
    <col min="9" max="9" width="20.421875" style="0" customWidth="1"/>
    <col min="10" max="11" width="16.28125" style="0" customWidth="1"/>
  </cols>
  <sheetData>
    <row r="1" spans="1:11" ht="27.75" customHeight="1">
      <c r="A1" s="1466" t="s">
        <v>873</v>
      </c>
      <c r="B1" s="1466"/>
      <c r="C1" s="1466"/>
      <c r="D1" s="1466"/>
      <c r="E1" s="1466"/>
      <c r="F1" s="1466"/>
      <c r="G1" s="1466"/>
      <c r="H1" s="1466"/>
      <c r="I1" s="1466"/>
      <c r="J1" s="1466"/>
      <c r="K1" s="1466"/>
    </row>
    <row r="2" spans="1:10" ht="21">
      <c r="A2" s="1467" t="s">
        <v>874</v>
      </c>
      <c r="B2" s="1467"/>
      <c r="C2" s="1467"/>
      <c r="D2" s="1467"/>
      <c r="E2" s="1467"/>
      <c r="F2" s="1467"/>
      <c r="G2" s="1467"/>
      <c r="H2" s="1467"/>
      <c r="I2" s="1467"/>
      <c r="J2" s="1467"/>
    </row>
    <row r="4" spans="1:11" ht="234.75" customHeight="1">
      <c r="A4" s="1209" t="s">
        <v>875</v>
      </c>
      <c r="B4" s="1209" t="s">
        <v>876</v>
      </c>
      <c r="C4" s="1209" t="s">
        <v>877</v>
      </c>
      <c r="D4" s="1209" t="s">
        <v>876</v>
      </c>
      <c r="E4" s="1209" t="s">
        <v>878</v>
      </c>
      <c r="F4" s="1209" t="s">
        <v>879</v>
      </c>
      <c r="G4" s="1188" t="s">
        <v>880</v>
      </c>
      <c r="H4" s="1188" t="s">
        <v>881</v>
      </c>
      <c r="I4" s="1209" t="s">
        <v>882</v>
      </c>
      <c r="J4" s="1209" t="s">
        <v>883</v>
      </c>
      <c r="K4" s="1209" t="s">
        <v>884</v>
      </c>
    </row>
    <row r="5" spans="1:11" ht="27.75">
      <c r="A5" s="1210"/>
      <c r="B5" s="1210"/>
      <c r="C5" s="1210"/>
      <c r="D5" s="1210"/>
      <c r="E5" s="1211" t="s">
        <v>811</v>
      </c>
      <c r="F5" s="1211" t="s">
        <v>812</v>
      </c>
      <c r="G5" s="1211" t="s">
        <v>813</v>
      </c>
      <c r="H5" s="1211" t="s">
        <v>814</v>
      </c>
      <c r="I5" s="1211" t="s">
        <v>845</v>
      </c>
      <c r="J5" s="1212" t="s">
        <v>885</v>
      </c>
      <c r="K5" s="1212" t="s">
        <v>886</v>
      </c>
    </row>
    <row r="6" spans="1:11" ht="15">
      <c r="A6" s="1189"/>
      <c r="B6" s="1189"/>
      <c r="C6" s="1189"/>
      <c r="D6" s="1189"/>
      <c r="E6" s="1189"/>
      <c r="F6" s="1189"/>
      <c r="G6" s="1189"/>
      <c r="H6" s="1189"/>
      <c r="I6" s="1189"/>
      <c r="J6" s="1193">
        <f>+E6+F6-G6-H6-I6</f>
        <v>0</v>
      </c>
      <c r="K6" s="1193"/>
    </row>
    <row r="7" spans="1:11" ht="15">
      <c r="A7" s="1189"/>
      <c r="B7" s="1189"/>
      <c r="C7" s="1189"/>
      <c r="D7" s="1201"/>
      <c r="E7" s="1189"/>
      <c r="F7" s="1189"/>
      <c r="G7" s="1189"/>
      <c r="H7" s="1189"/>
      <c r="I7" s="1189"/>
      <c r="J7" s="1193">
        <f aca="true" t="shared" si="0" ref="J7:J21">+E7+F7-G7-H7-I7</f>
        <v>0</v>
      </c>
      <c r="K7" s="1193"/>
    </row>
    <row r="8" spans="1:11" ht="15">
      <c r="A8" s="1189"/>
      <c r="B8" s="1189"/>
      <c r="C8" s="1189"/>
      <c r="D8" s="1201"/>
      <c r="E8" s="1189"/>
      <c r="F8" s="1189"/>
      <c r="G8" s="1189"/>
      <c r="H8" s="1189"/>
      <c r="I8" s="1189"/>
      <c r="J8" s="1193">
        <f t="shared" si="0"/>
        <v>0</v>
      </c>
      <c r="K8" s="1193"/>
    </row>
    <row r="9" spans="1:11" ht="15">
      <c r="A9" s="1189"/>
      <c r="B9" s="1189"/>
      <c r="C9" s="1189"/>
      <c r="D9" s="1201"/>
      <c r="E9" s="1189"/>
      <c r="F9" s="1189"/>
      <c r="G9" s="1189"/>
      <c r="H9" s="1189"/>
      <c r="I9" s="1189"/>
      <c r="J9" s="1193">
        <f t="shared" si="0"/>
        <v>0</v>
      </c>
      <c r="K9" s="1193"/>
    </row>
    <row r="10" spans="1:11" ht="15">
      <c r="A10" s="1189"/>
      <c r="B10" s="1201"/>
      <c r="C10" s="1189"/>
      <c r="D10" s="1201"/>
      <c r="E10" s="1189"/>
      <c r="F10" s="1189"/>
      <c r="G10" s="1189"/>
      <c r="H10" s="1189"/>
      <c r="I10" s="1189"/>
      <c r="J10" s="1193">
        <f t="shared" si="0"/>
        <v>0</v>
      </c>
      <c r="K10" s="1193"/>
    </row>
    <row r="11" spans="1:11" ht="15">
      <c r="A11" s="1189"/>
      <c r="B11" s="1189"/>
      <c r="C11" s="1189"/>
      <c r="D11" s="1189"/>
      <c r="E11" s="1189"/>
      <c r="F11" s="1189"/>
      <c r="G11" s="1189"/>
      <c r="H11" s="1189"/>
      <c r="I11" s="1189"/>
      <c r="J11" s="1193">
        <f t="shared" si="0"/>
        <v>0</v>
      </c>
      <c r="K11" s="1193"/>
    </row>
    <row r="12" spans="1:11" ht="15">
      <c r="A12" s="1189"/>
      <c r="B12" s="1189"/>
      <c r="C12" s="1189"/>
      <c r="D12" s="1189"/>
      <c r="E12" s="1189"/>
      <c r="F12" s="1189"/>
      <c r="G12" s="1189"/>
      <c r="H12" s="1189"/>
      <c r="I12" s="1189"/>
      <c r="J12" s="1193">
        <f t="shared" si="0"/>
        <v>0</v>
      </c>
      <c r="K12" s="1193"/>
    </row>
    <row r="13" spans="1:11" ht="15">
      <c r="A13" s="1189"/>
      <c r="B13" s="1189"/>
      <c r="C13" s="1189"/>
      <c r="D13" s="1189"/>
      <c r="E13" s="1189"/>
      <c r="F13" s="1189"/>
      <c r="G13" s="1189"/>
      <c r="H13" s="1189"/>
      <c r="I13" s="1189"/>
      <c r="J13" s="1193">
        <f t="shared" si="0"/>
        <v>0</v>
      </c>
      <c r="K13" s="1193"/>
    </row>
    <row r="14" spans="1:11" ht="15">
      <c r="A14" s="1189"/>
      <c r="B14" s="1189"/>
      <c r="C14" s="1189"/>
      <c r="D14" s="1189"/>
      <c r="E14" s="1189"/>
      <c r="F14" s="1189"/>
      <c r="G14" s="1189"/>
      <c r="H14" s="1189"/>
      <c r="I14" s="1189"/>
      <c r="J14" s="1193">
        <f t="shared" si="0"/>
        <v>0</v>
      </c>
      <c r="K14" s="1193"/>
    </row>
    <row r="15" spans="1:11" ht="15">
      <c r="A15" s="1189"/>
      <c r="B15" s="1189"/>
      <c r="C15" s="1189"/>
      <c r="D15" s="1189"/>
      <c r="E15" s="1189"/>
      <c r="F15" s="1189"/>
      <c r="G15" s="1189"/>
      <c r="H15" s="1189"/>
      <c r="I15" s="1189"/>
      <c r="J15" s="1193">
        <f t="shared" si="0"/>
        <v>0</v>
      </c>
      <c r="K15" s="1193"/>
    </row>
    <row r="16" spans="1:11" ht="15">
      <c r="A16" s="1189"/>
      <c r="B16" s="1189"/>
      <c r="C16" s="1189"/>
      <c r="D16" s="1189"/>
      <c r="E16" s="1189"/>
      <c r="F16" s="1189"/>
      <c r="G16" s="1189"/>
      <c r="H16" s="1189"/>
      <c r="I16" s="1189"/>
      <c r="J16" s="1193">
        <f t="shared" si="0"/>
        <v>0</v>
      </c>
      <c r="K16" s="1193"/>
    </row>
    <row r="17" spans="1:11" ht="15">
      <c r="A17" s="1189"/>
      <c r="B17" s="1189"/>
      <c r="C17" s="1189"/>
      <c r="D17" s="1189"/>
      <c r="E17" s="1189"/>
      <c r="F17" s="1189"/>
      <c r="G17" s="1189"/>
      <c r="H17" s="1189"/>
      <c r="I17" s="1189"/>
      <c r="J17" s="1193">
        <f t="shared" si="0"/>
        <v>0</v>
      </c>
      <c r="K17" s="1193"/>
    </row>
    <row r="18" spans="1:11" ht="15">
      <c r="A18" s="1189"/>
      <c r="B18" s="1189"/>
      <c r="C18" s="1189"/>
      <c r="D18" s="1189"/>
      <c r="E18" s="1189"/>
      <c r="F18" s="1189"/>
      <c r="G18" s="1189"/>
      <c r="H18" s="1189"/>
      <c r="I18" s="1189"/>
      <c r="J18" s="1193">
        <f t="shared" si="0"/>
        <v>0</v>
      </c>
      <c r="K18" s="1193"/>
    </row>
    <row r="19" spans="1:11" ht="15">
      <c r="A19" s="1189"/>
      <c r="B19" s="1189"/>
      <c r="C19" s="1189"/>
      <c r="D19" s="1189"/>
      <c r="E19" s="1189"/>
      <c r="F19" s="1189"/>
      <c r="G19" s="1189"/>
      <c r="H19" s="1189"/>
      <c r="I19" s="1189"/>
      <c r="J19" s="1193">
        <f t="shared" si="0"/>
        <v>0</v>
      </c>
      <c r="K19" s="1193"/>
    </row>
    <row r="20" spans="1:11" ht="15">
      <c r="A20" s="1189"/>
      <c r="B20" s="1189"/>
      <c r="C20" s="1189"/>
      <c r="D20" s="1189"/>
      <c r="E20" s="1189"/>
      <c r="F20" s="1189"/>
      <c r="G20" s="1189"/>
      <c r="H20" s="1189"/>
      <c r="I20" s="1189"/>
      <c r="J20" s="1193">
        <f t="shared" si="0"/>
        <v>0</v>
      </c>
      <c r="K20" s="1193"/>
    </row>
    <row r="21" spans="1:11" ht="15">
      <c r="A21" s="1189"/>
      <c r="B21" s="1189"/>
      <c r="C21" s="1189"/>
      <c r="D21" s="1189"/>
      <c r="E21" s="1189"/>
      <c r="F21" s="1189"/>
      <c r="G21" s="1189"/>
      <c r="H21" s="1189"/>
      <c r="I21" s="1189"/>
      <c r="J21" s="1193">
        <f t="shared" si="0"/>
        <v>0</v>
      </c>
      <c r="K21" s="1193"/>
    </row>
    <row r="22" spans="1:11" ht="15">
      <c r="A22" s="1478" t="s">
        <v>828</v>
      </c>
      <c r="B22" s="1478"/>
      <c r="C22" s="1478"/>
      <c r="D22" s="1478"/>
      <c r="E22" s="1193">
        <f aca="true" t="shared" si="1" ref="E22:K22">SUM(E6:E21)</f>
        <v>0</v>
      </c>
      <c r="F22" s="1193">
        <f t="shared" si="1"/>
        <v>0</v>
      </c>
      <c r="G22" s="1193">
        <f t="shared" si="1"/>
        <v>0</v>
      </c>
      <c r="H22" s="1193">
        <f t="shared" si="1"/>
        <v>0</v>
      </c>
      <c r="I22" s="1193">
        <f t="shared" si="1"/>
        <v>0</v>
      </c>
      <c r="J22" s="1193">
        <f t="shared" si="1"/>
        <v>0</v>
      </c>
      <c r="K22" s="1193">
        <f t="shared" si="1"/>
        <v>0</v>
      </c>
    </row>
    <row r="23" spans="1:11" ht="40.5" customHeight="1">
      <c r="A23" s="1203"/>
      <c r="B23" s="1115"/>
      <c r="C23" s="1115"/>
      <c r="D23" s="1204"/>
      <c r="E23" s="1476" t="s">
        <v>887</v>
      </c>
      <c r="F23" s="1476"/>
      <c r="G23" s="1476"/>
      <c r="H23" s="1476"/>
      <c r="I23" s="1476"/>
      <c r="J23" s="1193"/>
      <c r="K23" s="1213"/>
    </row>
    <row r="24" spans="1:11" ht="44.25" customHeight="1">
      <c r="A24" s="1137"/>
      <c r="B24" s="1129"/>
      <c r="C24" s="1129"/>
      <c r="D24" s="1207"/>
      <c r="E24" s="1476" t="s">
        <v>888</v>
      </c>
      <c r="F24" s="1476"/>
      <c r="G24" s="1476"/>
      <c r="H24" s="1476"/>
      <c r="I24" s="1476"/>
      <c r="J24" s="1193">
        <f>+J22-J23</f>
        <v>0</v>
      </c>
      <c r="K24" s="1213"/>
    </row>
    <row r="25" spans="1:10" ht="33.75" customHeight="1">
      <c r="A25" s="1479" t="s">
        <v>889</v>
      </c>
      <c r="B25" s="1479"/>
      <c r="C25" s="1479"/>
      <c r="D25" s="1479"/>
      <c r="E25" s="1479"/>
      <c r="F25" s="1479"/>
      <c r="G25" s="1479"/>
      <c r="H25" s="1479"/>
      <c r="I25" s="1479"/>
      <c r="J25" s="1479"/>
    </row>
    <row r="26" spans="1:10" ht="47.25" customHeight="1">
      <c r="A26" s="1468" t="s">
        <v>890</v>
      </c>
      <c r="B26" s="1468"/>
      <c r="C26" s="1468"/>
      <c r="D26" s="1468"/>
      <c r="E26" s="1468"/>
      <c r="F26" s="1468"/>
      <c r="G26" s="1468"/>
      <c r="H26" s="1468"/>
      <c r="I26" s="1468"/>
      <c r="J26" s="1468"/>
    </row>
    <row r="43" ht="12">
      <c r="L43">
        <f>+L11-L37</f>
        <v>0</v>
      </c>
    </row>
  </sheetData>
  <sheetProtection/>
  <mergeCells count="7">
    <mergeCell ref="A26:J26"/>
    <mergeCell ref="A1:K1"/>
    <mergeCell ref="A2:J2"/>
    <mergeCell ref="A22:D22"/>
    <mergeCell ref="E23:I23"/>
    <mergeCell ref="E24:I24"/>
    <mergeCell ref="A25:J2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K27"/>
  <sheetViews>
    <sheetView showGridLines="0" zoomScalePageLayoutView="0" workbookViewId="0" topLeftCell="A7">
      <selection activeCell="F16" sqref="F16"/>
    </sheetView>
  </sheetViews>
  <sheetFormatPr defaultColWidth="9.140625" defaultRowHeight="12.75"/>
  <cols>
    <col min="1" max="3" width="9.140625" style="239" customWidth="1"/>
    <col min="4" max="4" width="40.57421875" style="239" customWidth="1"/>
    <col min="5" max="5" width="27.28125" style="239" customWidth="1"/>
    <col min="6" max="6" width="20.7109375" style="310" customWidth="1"/>
    <col min="7" max="16384" width="9.140625" style="239" customWidth="1"/>
  </cols>
  <sheetData>
    <row r="1" spans="1:7" s="311" customFormat="1" ht="18">
      <c r="A1" s="1480" t="s">
        <v>550</v>
      </c>
      <c r="B1" s="1480"/>
      <c r="C1" s="1480"/>
      <c r="D1" s="1480"/>
      <c r="E1" s="1480"/>
      <c r="F1" s="1480"/>
      <c r="G1" s="185"/>
    </row>
    <row r="2" spans="1:6" s="88" customFormat="1" ht="42" customHeight="1">
      <c r="A2" s="1481" t="s">
        <v>551</v>
      </c>
      <c r="B2" s="1482"/>
      <c r="C2" s="1482"/>
      <c r="D2" s="1482"/>
      <c r="E2" s="1482"/>
      <c r="F2" s="1483"/>
    </row>
    <row r="3" spans="1:6" ht="30" customHeight="1">
      <c r="A3" s="1484" t="s">
        <v>769</v>
      </c>
      <c r="B3" s="1485"/>
      <c r="C3" s="1485"/>
      <c r="D3" s="1485"/>
      <c r="E3" s="1485"/>
      <c r="F3" s="1486"/>
    </row>
    <row r="4" spans="1:6" ht="30" customHeight="1">
      <c r="A4" s="1487" t="s">
        <v>552</v>
      </c>
      <c r="B4" s="1488"/>
      <c r="C4" s="1488"/>
      <c r="D4" s="1488"/>
      <c r="E4" s="312"/>
      <c r="F4" s="313">
        <v>1754040.69</v>
      </c>
    </row>
    <row r="5" spans="1:6" ht="30" customHeight="1">
      <c r="A5" s="1489" t="s">
        <v>553</v>
      </c>
      <c r="B5" s="1490"/>
      <c r="C5" s="1490"/>
      <c r="D5" s="1490"/>
      <c r="E5" s="1491"/>
      <c r="F5" s="313">
        <v>158919.3</v>
      </c>
    </row>
    <row r="6" spans="1:6" ht="30" customHeight="1">
      <c r="A6" s="1487" t="s">
        <v>554</v>
      </c>
      <c r="B6" s="1488"/>
      <c r="C6" s="1488"/>
      <c r="D6" s="1488"/>
      <c r="E6" s="314"/>
      <c r="F6" s="313">
        <v>436616.23</v>
      </c>
    </row>
    <row r="7" spans="1:6" ht="30" customHeight="1">
      <c r="A7" s="1492" t="s">
        <v>555</v>
      </c>
      <c r="B7" s="1493"/>
      <c r="C7" s="1493"/>
      <c r="D7" s="1493"/>
      <c r="E7" s="312"/>
      <c r="F7" s="315">
        <f>SUM(F4:F6)</f>
        <v>2349576.2199999997</v>
      </c>
    </row>
    <row r="8" spans="1:6" ht="30" customHeight="1">
      <c r="A8" s="1494" t="s">
        <v>556</v>
      </c>
      <c r="B8" s="1495"/>
      <c r="C8" s="1495"/>
      <c r="D8" s="1495"/>
      <c r="E8" s="1495"/>
      <c r="F8" s="1496"/>
    </row>
    <row r="9" spans="1:6" ht="30" customHeight="1">
      <c r="A9" s="1497" t="s">
        <v>557</v>
      </c>
      <c r="B9" s="1498"/>
      <c r="C9" s="1498"/>
      <c r="D9" s="1498"/>
      <c r="E9" s="312"/>
      <c r="F9" s="313">
        <f>F7*10%</f>
        <v>234957.62199999997</v>
      </c>
    </row>
    <row r="10" spans="1:6" ht="30" customHeight="1">
      <c r="A10" s="1489" t="s">
        <v>670</v>
      </c>
      <c r="B10" s="1499"/>
      <c r="C10" s="1499"/>
      <c r="D10" s="1499"/>
      <c r="E10" s="1500"/>
      <c r="F10" s="313">
        <v>37821.2</v>
      </c>
    </row>
    <row r="11" spans="1:6" ht="30" customHeight="1">
      <c r="A11" s="1489" t="s">
        <v>571</v>
      </c>
      <c r="B11" s="1499"/>
      <c r="C11" s="1499"/>
      <c r="D11" s="1499"/>
      <c r="E11" s="1500"/>
      <c r="F11" s="313">
        <v>0</v>
      </c>
    </row>
    <row r="12" spans="1:6" ht="30" customHeight="1">
      <c r="A12" s="1497" t="s">
        <v>558</v>
      </c>
      <c r="B12" s="1498"/>
      <c r="C12" s="1498"/>
      <c r="D12" s="1498"/>
      <c r="E12" s="1501"/>
      <c r="F12" s="313">
        <v>0</v>
      </c>
    </row>
    <row r="13" spans="1:6" ht="30" customHeight="1">
      <c r="A13" s="1497" t="s">
        <v>559</v>
      </c>
      <c r="B13" s="1498"/>
      <c r="C13" s="1498"/>
      <c r="D13" s="1498"/>
      <c r="E13" s="1501"/>
      <c r="F13" s="316">
        <v>0</v>
      </c>
    </row>
    <row r="14" spans="1:6" ht="30" customHeight="1">
      <c r="A14" s="1502" t="s">
        <v>560</v>
      </c>
      <c r="B14" s="1503"/>
      <c r="C14" s="1503"/>
      <c r="D14" s="1503"/>
      <c r="E14" s="1504"/>
      <c r="F14" s="317">
        <f>F9-F10-F11+F12+F13</f>
        <v>197136.42199999996</v>
      </c>
    </row>
    <row r="15" spans="1:6" ht="30" customHeight="1">
      <c r="A15" s="1505" t="s">
        <v>561</v>
      </c>
      <c r="B15" s="1506"/>
      <c r="C15" s="1506"/>
      <c r="D15" s="1506"/>
      <c r="E15" s="1506"/>
      <c r="F15" s="1507"/>
    </row>
    <row r="16" spans="1:6" ht="30" customHeight="1">
      <c r="A16" s="1508" t="s">
        <v>672</v>
      </c>
      <c r="B16" s="1509"/>
      <c r="C16" s="1509"/>
      <c r="D16" s="1509"/>
      <c r="E16" s="1510"/>
      <c r="F16" s="316">
        <f>1059027.89-200000</f>
        <v>859027.8899999999</v>
      </c>
    </row>
    <row r="17" spans="1:6" ht="30" customHeight="1">
      <c r="A17" s="1487" t="s">
        <v>770</v>
      </c>
      <c r="B17" s="1488"/>
      <c r="C17" s="1488"/>
      <c r="D17" s="1488"/>
      <c r="E17" s="1511"/>
      <c r="F17" s="316">
        <v>200000</v>
      </c>
    </row>
    <row r="18" spans="1:6" ht="30" customHeight="1">
      <c r="A18" s="1512" t="s">
        <v>562</v>
      </c>
      <c r="B18" s="1513"/>
      <c r="C18" s="1513"/>
      <c r="D18" s="1513"/>
      <c r="E18" s="1513"/>
      <c r="F18" s="318">
        <f>SUM(F16:F17)</f>
        <v>1059027.89</v>
      </c>
    </row>
    <row r="19" spans="1:6" ht="30" customHeight="1">
      <c r="A19" s="1515" t="s">
        <v>563</v>
      </c>
      <c r="B19" s="1516"/>
      <c r="C19" s="1516"/>
      <c r="D19" s="1516"/>
      <c r="E19" s="1516"/>
      <c r="F19" s="1517"/>
    </row>
    <row r="20" spans="1:6" ht="24.75" customHeight="1">
      <c r="A20" s="1518" t="s">
        <v>564</v>
      </c>
      <c r="B20" s="1519"/>
      <c r="C20" s="1519"/>
      <c r="D20" s="1519"/>
      <c r="E20" s="1520"/>
      <c r="F20" s="316">
        <v>0</v>
      </c>
    </row>
    <row r="21" spans="1:6" ht="24.75" customHeight="1">
      <c r="A21" s="1497" t="s">
        <v>565</v>
      </c>
      <c r="B21" s="1498"/>
      <c r="C21" s="1498"/>
      <c r="D21" s="1498"/>
      <c r="E21" s="1501"/>
      <c r="F21" s="316">
        <v>0</v>
      </c>
    </row>
    <row r="22" spans="1:6" ht="24.75" customHeight="1">
      <c r="A22" s="1502" t="s">
        <v>566</v>
      </c>
      <c r="B22" s="1503"/>
      <c r="C22" s="1503"/>
      <c r="D22" s="1503"/>
      <c r="E22" s="1504"/>
      <c r="F22" s="319">
        <f>F20</f>
        <v>0</v>
      </c>
    </row>
    <row r="23" spans="1:6" ht="30" customHeight="1">
      <c r="A23" s="1521" t="s">
        <v>567</v>
      </c>
      <c r="B23" s="1521"/>
      <c r="C23" s="1521"/>
      <c r="D23" s="1521"/>
      <c r="E23" s="1521"/>
      <c r="F23" s="320">
        <f>F10+F22</f>
        <v>37821.2</v>
      </c>
    </row>
    <row r="24" spans="1:6" s="229" customFormat="1" ht="26.25" customHeight="1">
      <c r="A24" s="1522" t="s">
        <v>568</v>
      </c>
      <c r="B24" s="1523"/>
      <c r="C24" s="1523"/>
      <c r="D24" s="1523"/>
      <c r="E24" s="1523"/>
      <c r="F24" s="321">
        <f>(F23)/F7</f>
        <v>0.016097030467902847</v>
      </c>
    </row>
    <row r="25" ht="12">
      <c r="A25" s="322"/>
    </row>
    <row r="26" spans="1:11" ht="83.25" customHeight="1">
      <c r="A26" s="1514" t="s">
        <v>569</v>
      </c>
      <c r="B26" s="1514"/>
      <c r="C26" s="1514"/>
      <c r="D26" s="1514"/>
      <c r="E26" s="1514"/>
      <c r="F26" s="1514"/>
      <c r="G26" s="252"/>
      <c r="H26" s="252"/>
      <c r="I26" s="252"/>
      <c r="J26" s="252"/>
      <c r="K26" s="252"/>
    </row>
    <row r="27" ht="21.75" customHeight="1">
      <c r="A27" s="323" t="s">
        <v>570</v>
      </c>
    </row>
  </sheetData>
  <sheetProtection/>
  <mergeCells count="25">
    <mergeCell ref="A26:F26"/>
    <mergeCell ref="A19:F19"/>
    <mergeCell ref="A20:E20"/>
    <mergeCell ref="A21:E21"/>
    <mergeCell ref="A22:E22"/>
    <mergeCell ref="A23:E23"/>
    <mergeCell ref="A24:E24"/>
    <mergeCell ref="A13:E13"/>
    <mergeCell ref="A14:E14"/>
    <mergeCell ref="A15:F15"/>
    <mergeCell ref="A16:E16"/>
    <mergeCell ref="A17:E17"/>
    <mergeCell ref="A18:E18"/>
    <mergeCell ref="A7:D7"/>
    <mergeCell ref="A8:F8"/>
    <mergeCell ref="A9:D9"/>
    <mergeCell ref="A10:E10"/>
    <mergeCell ref="A11:E11"/>
    <mergeCell ref="A12:E12"/>
    <mergeCell ref="A1:F1"/>
    <mergeCell ref="A2:F2"/>
    <mergeCell ref="A3:F3"/>
    <mergeCell ref="A4:D4"/>
    <mergeCell ref="A5:E5"/>
    <mergeCell ref="A6:D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K27"/>
  <sheetViews>
    <sheetView showGridLines="0" zoomScalePageLayoutView="0" workbookViewId="0" topLeftCell="A4">
      <selection activeCell="F17" sqref="F17"/>
    </sheetView>
  </sheetViews>
  <sheetFormatPr defaultColWidth="9.140625" defaultRowHeight="12.75"/>
  <cols>
    <col min="1" max="3" width="9.140625" style="239" customWidth="1"/>
    <col min="4" max="4" width="40.57421875" style="239" customWidth="1"/>
    <col min="5" max="5" width="27.28125" style="239" customWidth="1"/>
    <col min="6" max="6" width="20.7109375" style="310" customWidth="1"/>
    <col min="7" max="16384" width="9.140625" style="239" customWidth="1"/>
  </cols>
  <sheetData>
    <row r="1" spans="1:7" s="311" customFormat="1" ht="18">
      <c r="A1" s="1480" t="s">
        <v>550</v>
      </c>
      <c r="B1" s="1480"/>
      <c r="C1" s="1480"/>
      <c r="D1" s="1480"/>
      <c r="E1" s="1480"/>
      <c r="F1" s="1480"/>
      <c r="G1" s="185"/>
    </row>
    <row r="2" spans="1:6" s="88" customFormat="1" ht="42" customHeight="1">
      <c r="A2" s="1481" t="s">
        <v>551</v>
      </c>
      <c r="B2" s="1482"/>
      <c r="C2" s="1482"/>
      <c r="D2" s="1482"/>
      <c r="E2" s="1482"/>
      <c r="F2" s="1483"/>
    </row>
    <row r="3" spans="1:6" ht="30" customHeight="1">
      <c r="A3" s="1484" t="s">
        <v>771</v>
      </c>
      <c r="B3" s="1485"/>
      <c r="C3" s="1485"/>
      <c r="D3" s="1485"/>
      <c r="E3" s="1485"/>
      <c r="F3" s="1486"/>
    </row>
    <row r="4" spans="1:6" ht="30" customHeight="1">
      <c r="A4" s="1487" t="s">
        <v>552</v>
      </c>
      <c r="B4" s="1488"/>
      <c r="C4" s="1488"/>
      <c r="D4" s="1488"/>
      <c r="E4" s="312"/>
      <c r="F4" s="313">
        <f>ENTRATA!N17</f>
        <v>1708000</v>
      </c>
    </row>
    <row r="5" spans="1:6" ht="30" customHeight="1">
      <c r="A5" s="1489" t="s">
        <v>553</v>
      </c>
      <c r="B5" s="1490"/>
      <c r="C5" s="1490"/>
      <c r="D5" s="1490"/>
      <c r="E5" s="1491"/>
      <c r="F5" s="313">
        <f>ENTRATA!N47</f>
        <v>353220</v>
      </c>
    </row>
    <row r="6" spans="1:6" ht="30" customHeight="1">
      <c r="A6" s="1487" t="s">
        <v>554</v>
      </c>
      <c r="B6" s="1488"/>
      <c r="C6" s="1488"/>
      <c r="D6" s="1488"/>
      <c r="E6" s="314"/>
      <c r="F6" s="313">
        <f>ENTRATA!N79</f>
        <v>301050</v>
      </c>
    </row>
    <row r="7" spans="1:6" ht="30" customHeight="1">
      <c r="A7" s="1492" t="s">
        <v>555</v>
      </c>
      <c r="B7" s="1493"/>
      <c r="C7" s="1493"/>
      <c r="D7" s="1493"/>
      <c r="E7" s="312"/>
      <c r="F7" s="315">
        <f>SUM(F4:F6)</f>
        <v>2362270</v>
      </c>
    </row>
    <row r="8" spans="1:6" ht="30" customHeight="1">
      <c r="A8" s="1494" t="s">
        <v>556</v>
      </c>
      <c r="B8" s="1495"/>
      <c r="C8" s="1495"/>
      <c r="D8" s="1495"/>
      <c r="E8" s="1495"/>
      <c r="F8" s="1496"/>
    </row>
    <row r="9" spans="1:6" ht="30" customHeight="1">
      <c r="A9" s="1497" t="s">
        <v>557</v>
      </c>
      <c r="B9" s="1498"/>
      <c r="C9" s="1498"/>
      <c r="D9" s="1498"/>
      <c r="E9" s="312"/>
      <c r="F9" s="313">
        <f>F7*10%</f>
        <v>236227</v>
      </c>
    </row>
    <row r="10" spans="1:6" ht="30" customHeight="1">
      <c r="A10" s="1489" t="s">
        <v>717</v>
      </c>
      <c r="B10" s="1499"/>
      <c r="C10" s="1499"/>
      <c r="D10" s="1499"/>
      <c r="E10" s="1500"/>
      <c r="F10" s="313">
        <f>34171.88-2175.34</f>
        <v>31996.539999999997</v>
      </c>
    </row>
    <row r="11" spans="1:6" ht="30" customHeight="1">
      <c r="A11" s="1489" t="s">
        <v>671</v>
      </c>
      <c r="B11" s="1499"/>
      <c r="C11" s="1499"/>
      <c r="D11" s="1499"/>
      <c r="E11" s="1500"/>
      <c r="F11" s="313">
        <v>2175.34</v>
      </c>
    </row>
    <row r="12" spans="1:6" ht="30" customHeight="1">
      <c r="A12" s="1497" t="s">
        <v>558</v>
      </c>
      <c r="B12" s="1498"/>
      <c r="C12" s="1498"/>
      <c r="D12" s="1498"/>
      <c r="E12" s="1501"/>
      <c r="F12" s="313">
        <v>0</v>
      </c>
    </row>
    <row r="13" spans="1:6" ht="30" customHeight="1">
      <c r="A13" s="1497" t="s">
        <v>559</v>
      </c>
      <c r="B13" s="1498"/>
      <c r="C13" s="1498"/>
      <c r="D13" s="1498"/>
      <c r="E13" s="1501"/>
      <c r="F13" s="316">
        <v>0</v>
      </c>
    </row>
    <row r="14" spans="1:6" ht="30" customHeight="1">
      <c r="A14" s="1502" t="s">
        <v>560</v>
      </c>
      <c r="B14" s="1503"/>
      <c r="C14" s="1503"/>
      <c r="D14" s="1503"/>
      <c r="E14" s="1504"/>
      <c r="F14" s="317">
        <f>F9-F10-F11+F12+F13</f>
        <v>202055.12</v>
      </c>
    </row>
    <row r="15" spans="1:6" ht="30" customHeight="1">
      <c r="A15" s="1505" t="s">
        <v>561</v>
      </c>
      <c r="B15" s="1506"/>
      <c r="C15" s="1506"/>
      <c r="D15" s="1506"/>
      <c r="E15" s="1506"/>
      <c r="F15" s="1507"/>
    </row>
    <row r="16" spans="1:6" ht="30" customHeight="1">
      <c r="A16" s="1508" t="s">
        <v>1014</v>
      </c>
      <c r="B16" s="1509"/>
      <c r="C16" s="1509"/>
      <c r="D16" s="1509"/>
      <c r="E16" s="1510"/>
      <c r="F16" s="316">
        <v>925722.64</v>
      </c>
    </row>
    <row r="17" spans="1:6" ht="30" customHeight="1">
      <c r="A17" s="1487" t="s">
        <v>719</v>
      </c>
      <c r="B17" s="1488"/>
      <c r="C17" s="1488"/>
      <c r="D17" s="1488"/>
      <c r="E17" s="1511"/>
      <c r="F17" s="316">
        <v>0</v>
      </c>
    </row>
    <row r="18" spans="1:6" ht="30" customHeight="1">
      <c r="A18" s="1512" t="s">
        <v>562</v>
      </c>
      <c r="B18" s="1513"/>
      <c r="C18" s="1513"/>
      <c r="D18" s="1513"/>
      <c r="E18" s="1513"/>
      <c r="F18" s="318">
        <f>SUM(F16:F17)</f>
        <v>925722.64</v>
      </c>
    </row>
    <row r="19" spans="1:6" ht="30" customHeight="1">
      <c r="A19" s="1515" t="s">
        <v>563</v>
      </c>
      <c r="B19" s="1516"/>
      <c r="C19" s="1516"/>
      <c r="D19" s="1516"/>
      <c r="E19" s="1516"/>
      <c r="F19" s="1517"/>
    </row>
    <row r="20" spans="1:6" ht="24.75" customHeight="1">
      <c r="A20" s="1518" t="s">
        <v>564</v>
      </c>
      <c r="B20" s="1519"/>
      <c r="C20" s="1519"/>
      <c r="D20" s="1519"/>
      <c r="E20" s="1520"/>
      <c r="F20" s="316"/>
    </row>
    <row r="21" spans="1:6" ht="24.75" customHeight="1">
      <c r="A21" s="1497" t="s">
        <v>565</v>
      </c>
      <c r="B21" s="1498"/>
      <c r="C21" s="1498"/>
      <c r="D21" s="1498"/>
      <c r="E21" s="1501"/>
      <c r="F21" s="316">
        <v>0</v>
      </c>
    </row>
    <row r="22" spans="1:6" ht="24.75" customHeight="1">
      <c r="A22" s="1502" t="s">
        <v>566</v>
      </c>
      <c r="B22" s="1503"/>
      <c r="C22" s="1503"/>
      <c r="D22" s="1503"/>
      <c r="E22" s="1504"/>
      <c r="F22" s="319">
        <f>F20</f>
        <v>0</v>
      </c>
    </row>
    <row r="23" spans="1:6" ht="30" customHeight="1">
      <c r="A23" s="1521" t="s">
        <v>567</v>
      </c>
      <c r="B23" s="1521"/>
      <c r="C23" s="1521"/>
      <c r="D23" s="1521"/>
      <c r="E23" s="1521"/>
      <c r="F23" s="320">
        <f>F10+F22</f>
        <v>31996.539999999997</v>
      </c>
    </row>
    <row r="24" spans="1:6" s="229" customFormat="1" ht="26.25" customHeight="1">
      <c r="A24" s="1522" t="s">
        <v>568</v>
      </c>
      <c r="B24" s="1523"/>
      <c r="C24" s="1523"/>
      <c r="D24" s="1523"/>
      <c r="E24" s="1523"/>
      <c r="F24" s="321">
        <f>(F23)/F7</f>
        <v>0.013544827644596087</v>
      </c>
    </row>
    <row r="25" ht="12">
      <c r="A25" s="322"/>
    </row>
    <row r="26" spans="1:11" ht="83.25" customHeight="1">
      <c r="A26" s="1514" t="s">
        <v>569</v>
      </c>
      <c r="B26" s="1514"/>
      <c r="C26" s="1514"/>
      <c r="D26" s="1514"/>
      <c r="E26" s="1514"/>
      <c r="F26" s="1514"/>
      <c r="G26" s="252"/>
      <c r="H26" s="252"/>
      <c r="I26" s="252"/>
      <c r="J26" s="252"/>
      <c r="K26" s="252"/>
    </row>
    <row r="27" ht="21.75" customHeight="1">
      <c r="A27" s="323" t="s">
        <v>570</v>
      </c>
    </row>
  </sheetData>
  <sheetProtection/>
  <mergeCells count="25">
    <mergeCell ref="A26:F26"/>
    <mergeCell ref="A19:F19"/>
    <mergeCell ref="A20:E20"/>
    <mergeCell ref="A21:E21"/>
    <mergeCell ref="A22:E22"/>
    <mergeCell ref="A23:E23"/>
    <mergeCell ref="A24:E24"/>
    <mergeCell ref="A13:E13"/>
    <mergeCell ref="A14:E14"/>
    <mergeCell ref="A15:F15"/>
    <mergeCell ref="A16:E16"/>
    <mergeCell ref="A17:E17"/>
    <mergeCell ref="A18:E18"/>
    <mergeCell ref="A7:D7"/>
    <mergeCell ref="A8:F8"/>
    <mergeCell ref="A9:D9"/>
    <mergeCell ref="A10:E10"/>
    <mergeCell ref="A11:E11"/>
    <mergeCell ref="A12:E12"/>
    <mergeCell ref="A1:F1"/>
    <mergeCell ref="A2:F2"/>
    <mergeCell ref="A3:F3"/>
    <mergeCell ref="A4:D4"/>
    <mergeCell ref="A5:E5"/>
    <mergeCell ref="A6:D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K27"/>
  <sheetViews>
    <sheetView showGridLines="0" zoomScalePageLayoutView="0" workbookViewId="0" topLeftCell="A10">
      <selection activeCell="G4" sqref="G4"/>
    </sheetView>
  </sheetViews>
  <sheetFormatPr defaultColWidth="9.140625" defaultRowHeight="12.75"/>
  <cols>
    <col min="1" max="3" width="9.140625" style="239" customWidth="1"/>
    <col min="4" max="4" width="40.57421875" style="239" customWidth="1"/>
    <col min="5" max="5" width="27.28125" style="239" customWidth="1"/>
    <col min="6" max="6" width="20.7109375" style="310" customWidth="1"/>
    <col min="7" max="16384" width="9.140625" style="239" customWidth="1"/>
  </cols>
  <sheetData>
    <row r="1" spans="1:7" s="311" customFormat="1" ht="18">
      <c r="A1" s="1480" t="s">
        <v>550</v>
      </c>
      <c r="B1" s="1480"/>
      <c r="C1" s="1480"/>
      <c r="D1" s="1480"/>
      <c r="E1" s="1480"/>
      <c r="F1" s="1480"/>
      <c r="G1" s="185"/>
    </row>
    <row r="2" spans="1:6" s="88" customFormat="1" ht="42" customHeight="1">
      <c r="A2" s="1481" t="s">
        <v>551</v>
      </c>
      <c r="B2" s="1482"/>
      <c r="C2" s="1482"/>
      <c r="D2" s="1482"/>
      <c r="E2" s="1482"/>
      <c r="F2" s="1483"/>
    </row>
    <row r="3" spans="1:6" ht="30" customHeight="1">
      <c r="A3" s="1484" t="s">
        <v>772</v>
      </c>
      <c r="B3" s="1485"/>
      <c r="C3" s="1485"/>
      <c r="D3" s="1485"/>
      <c r="E3" s="1485"/>
      <c r="F3" s="1486"/>
    </row>
    <row r="4" spans="1:6" ht="30" customHeight="1">
      <c r="A4" s="1487" t="s">
        <v>552</v>
      </c>
      <c r="B4" s="1488"/>
      <c r="C4" s="1488"/>
      <c r="D4" s="1488"/>
      <c r="E4" s="312"/>
      <c r="F4" s="313">
        <f>ENTRATA!Q17</f>
        <v>1682000</v>
      </c>
    </row>
    <row r="5" spans="1:6" ht="30" customHeight="1">
      <c r="A5" s="1489" t="s">
        <v>553</v>
      </c>
      <c r="B5" s="1490"/>
      <c r="C5" s="1490"/>
      <c r="D5" s="1490"/>
      <c r="E5" s="1491"/>
      <c r="F5" s="313">
        <f>ENTRATA!Q47</f>
        <v>353220</v>
      </c>
    </row>
    <row r="6" spans="1:6" ht="30" customHeight="1">
      <c r="A6" s="1487" t="s">
        <v>554</v>
      </c>
      <c r="B6" s="1488"/>
      <c r="C6" s="1488"/>
      <c r="D6" s="1488"/>
      <c r="E6" s="314"/>
      <c r="F6" s="313">
        <f>ENTRATA!Q79</f>
        <v>301050</v>
      </c>
    </row>
    <row r="7" spans="1:6" ht="30" customHeight="1">
      <c r="A7" s="1492" t="s">
        <v>555</v>
      </c>
      <c r="B7" s="1493"/>
      <c r="C7" s="1493"/>
      <c r="D7" s="1493"/>
      <c r="E7" s="312"/>
      <c r="F7" s="315">
        <f>SUM(F4:F6)</f>
        <v>2336270</v>
      </c>
    </row>
    <row r="8" spans="1:6" ht="30" customHeight="1">
      <c r="A8" s="1494" t="s">
        <v>556</v>
      </c>
      <c r="B8" s="1495"/>
      <c r="C8" s="1495"/>
      <c r="D8" s="1495"/>
      <c r="E8" s="1495"/>
      <c r="F8" s="1496"/>
    </row>
    <row r="9" spans="1:6" ht="30" customHeight="1">
      <c r="A9" s="1497" t="s">
        <v>557</v>
      </c>
      <c r="B9" s="1498"/>
      <c r="C9" s="1498"/>
      <c r="D9" s="1498"/>
      <c r="E9" s="312"/>
      <c r="F9" s="313">
        <f>F7*10%</f>
        <v>233627</v>
      </c>
    </row>
    <row r="10" spans="1:6" ht="30" customHeight="1">
      <c r="A10" s="1489" t="s">
        <v>773</v>
      </c>
      <c r="B10" s="1499"/>
      <c r="C10" s="1499"/>
      <c r="D10" s="1499"/>
      <c r="E10" s="1500"/>
      <c r="F10" s="313">
        <v>30150.76</v>
      </c>
    </row>
    <row r="11" spans="1:6" ht="30" customHeight="1">
      <c r="A11" s="1489" t="s">
        <v>718</v>
      </c>
      <c r="B11" s="1499"/>
      <c r="C11" s="1499"/>
      <c r="D11" s="1499"/>
      <c r="E11" s="1500"/>
      <c r="F11" s="313">
        <v>0</v>
      </c>
    </row>
    <row r="12" spans="1:6" ht="30" customHeight="1">
      <c r="A12" s="1497" t="s">
        <v>558</v>
      </c>
      <c r="B12" s="1498"/>
      <c r="C12" s="1498"/>
      <c r="D12" s="1498"/>
      <c r="E12" s="1501"/>
      <c r="F12" s="313">
        <v>0</v>
      </c>
    </row>
    <row r="13" spans="1:6" ht="30" customHeight="1">
      <c r="A13" s="1497" t="s">
        <v>559</v>
      </c>
      <c r="B13" s="1498"/>
      <c r="C13" s="1498"/>
      <c r="D13" s="1498"/>
      <c r="E13" s="1501"/>
      <c r="F13" s="316">
        <v>0</v>
      </c>
    </row>
    <row r="14" spans="1:6" ht="30" customHeight="1">
      <c r="A14" s="1502" t="s">
        <v>560</v>
      </c>
      <c r="B14" s="1503"/>
      <c r="C14" s="1503"/>
      <c r="D14" s="1503"/>
      <c r="E14" s="1504"/>
      <c r="F14" s="317">
        <f>F9-F10-F11+F12+F13</f>
        <v>203476.24</v>
      </c>
    </row>
    <row r="15" spans="1:6" ht="30" customHeight="1">
      <c r="A15" s="1505" t="s">
        <v>561</v>
      </c>
      <c r="B15" s="1506"/>
      <c r="C15" s="1506"/>
      <c r="D15" s="1506"/>
      <c r="E15" s="1506"/>
      <c r="F15" s="1507"/>
    </row>
    <row r="16" spans="1:6" ht="30" customHeight="1">
      <c r="A16" s="1508" t="s">
        <v>774</v>
      </c>
      <c r="B16" s="1509"/>
      <c r="C16" s="1509"/>
      <c r="D16" s="1509"/>
      <c r="E16" s="1510"/>
      <c r="F16" s="316">
        <v>790264.63</v>
      </c>
    </row>
    <row r="17" spans="1:6" ht="30" customHeight="1">
      <c r="A17" s="1487" t="s">
        <v>775</v>
      </c>
      <c r="B17" s="1488"/>
      <c r="C17" s="1488"/>
      <c r="D17" s="1488"/>
      <c r="E17" s="1511"/>
      <c r="F17" s="316">
        <v>0</v>
      </c>
    </row>
    <row r="18" spans="1:6" ht="30" customHeight="1">
      <c r="A18" s="1512" t="s">
        <v>562</v>
      </c>
      <c r="B18" s="1513"/>
      <c r="C18" s="1513"/>
      <c r="D18" s="1513"/>
      <c r="E18" s="1513"/>
      <c r="F18" s="318">
        <f>SUM(F16:F17)</f>
        <v>790264.63</v>
      </c>
    </row>
    <row r="19" spans="1:6" ht="30" customHeight="1">
      <c r="A19" s="1515" t="s">
        <v>563</v>
      </c>
      <c r="B19" s="1516"/>
      <c r="C19" s="1516"/>
      <c r="D19" s="1516"/>
      <c r="E19" s="1516"/>
      <c r="F19" s="1517"/>
    </row>
    <row r="20" spans="1:6" ht="24.75" customHeight="1">
      <c r="A20" s="1518" t="s">
        <v>564</v>
      </c>
      <c r="B20" s="1519"/>
      <c r="C20" s="1519"/>
      <c r="D20" s="1519"/>
      <c r="E20" s="1520"/>
      <c r="F20" s="316">
        <v>0</v>
      </c>
    </row>
    <row r="21" spans="1:6" ht="24.75" customHeight="1">
      <c r="A21" s="1497" t="s">
        <v>565</v>
      </c>
      <c r="B21" s="1498"/>
      <c r="C21" s="1498"/>
      <c r="D21" s="1498"/>
      <c r="E21" s="1501"/>
      <c r="F21" s="316">
        <v>0</v>
      </c>
    </row>
    <row r="22" spans="1:6" ht="24.75" customHeight="1">
      <c r="A22" s="1502" t="s">
        <v>566</v>
      </c>
      <c r="B22" s="1503"/>
      <c r="C22" s="1503"/>
      <c r="D22" s="1503"/>
      <c r="E22" s="1504"/>
      <c r="F22" s="319">
        <f>F20</f>
        <v>0</v>
      </c>
    </row>
    <row r="23" spans="1:6" ht="30" customHeight="1">
      <c r="A23" s="1521" t="s">
        <v>567</v>
      </c>
      <c r="B23" s="1521"/>
      <c r="C23" s="1521"/>
      <c r="D23" s="1521"/>
      <c r="E23" s="1521"/>
      <c r="F23" s="320">
        <f>F10+F22</f>
        <v>30150.76</v>
      </c>
    </row>
    <row r="24" spans="1:6" s="229" customFormat="1" ht="26.25" customHeight="1">
      <c r="A24" s="1522" t="s">
        <v>568</v>
      </c>
      <c r="B24" s="1523"/>
      <c r="C24" s="1523"/>
      <c r="D24" s="1523"/>
      <c r="E24" s="1523"/>
      <c r="F24" s="321">
        <f>(F23)/F7</f>
        <v>0.012905511777320258</v>
      </c>
    </row>
    <row r="25" ht="12">
      <c r="A25" s="322"/>
    </row>
    <row r="26" spans="1:11" ht="83.25" customHeight="1">
      <c r="A26" s="1514" t="s">
        <v>569</v>
      </c>
      <c r="B26" s="1514"/>
      <c r="C26" s="1514"/>
      <c r="D26" s="1514"/>
      <c r="E26" s="1514"/>
      <c r="F26" s="1514"/>
      <c r="G26" s="252"/>
      <c r="H26" s="252"/>
      <c r="I26" s="252"/>
      <c r="J26" s="252"/>
      <c r="K26" s="252"/>
    </row>
    <row r="27" ht="21.75" customHeight="1">
      <c r="A27" s="323" t="s">
        <v>570</v>
      </c>
    </row>
  </sheetData>
  <sheetProtection/>
  <mergeCells count="25">
    <mergeCell ref="A26:F26"/>
    <mergeCell ref="A19:F19"/>
    <mergeCell ref="A20:E20"/>
    <mergeCell ref="A21:E21"/>
    <mergeCell ref="A22:E22"/>
    <mergeCell ref="A23:E23"/>
    <mergeCell ref="A24:E24"/>
    <mergeCell ref="A13:E13"/>
    <mergeCell ref="A14:E14"/>
    <mergeCell ref="A15:F15"/>
    <mergeCell ref="A16:E16"/>
    <mergeCell ref="A17:E17"/>
    <mergeCell ref="A18:E18"/>
    <mergeCell ref="A7:D7"/>
    <mergeCell ref="A8:F8"/>
    <mergeCell ref="A9:D9"/>
    <mergeCell ref="A10:E10"/>
    <mergeCell ref="A11:E11"/>
    <mergeCell ref="A12:E12"/>
    <mergeCell ref="A1:F1"/>
    <mergeCell ref="A2:F2"/>
    <mergeCell ref="A3:F3"/>
    <mergeCell ref="A4:D4"/>
    <mergeCell ref="A5:E5"/>
    <mergeCell ref="A6:D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FFFF00"/>
  </sheetPr>
  <dimension ref="A1:K45"/>
  <sheetViews>
    <sheetView showGridLines="0" zoomScalePageLayoutView="0" workbookViewId="0" topLeftCell="A1">
      <selection activeCell="H23" sqref="H23"/>
    </sheetView>
  </sheetViews>
  <sheetFormatPr defaultColWidth="9.140625" defaultRowHeight="12.75"/>
  <cols>
    <col min="1" max="3" width="9.140625" style="40" customWidth="1"/>
    <col min="4" max="4" width="40.57421875" style="40" customWidth="1"/>
    <col min="5" max="5" width="19.8515625" style="40" customWidth="1"/>
    <col min="6" max="6" width="5.57421875" style="4" customWidth="1"/>
    <col min="7" max="7" width="22.00390625" style="4" customWidth="1"/>
    <col min="8" max="8" width="20.00390625" style="4" customWidth="1"/>
    <col min="9" max="9" width="19.28125" style="4" customWidth="1"/>
    <col min="10" max="10" width="9.140625" style="40" customWidth="1"/>
    <col min="11" max="11" width="11.00390625" style="40" customWidth="1"/>
    <col min="12" max="16384" width="9.140625" style="40" customWidth="1"/>
  </cols>
  <sheetData>
    <row r="1" spans="1:11" ht="21" customHeight="1">
      <c r="A1" s="1524" t="s">
        <v>550</v>
      </c>
      <c r="B1" s="1524"/>
      <c r="C1" s="1524"/>
      <c r="D1" s="1524"/>
      <c r="E1" s="1524"/>
      <c r="F1" s="1524"/>
      <c r="G1" s="1524"/>
      <c r="H1" s="1524"/>
      <c r="I1" s="1524"/>
      <c r="K1" s="347" t="s">
        <v>598</v>
      </c>
    </row>
    <row r="2" ht="15" customHeight="1"/>
    <row r="3" spans="1:9" ht="15" customHeight="1">
      <c r="A3" s="1525" t="s">
        <v>551</v>
      </c>
      <c r="B3" s="1526"/>
      <c r="C3" s="1526"/>
      <c r="D3" s="1526"/>
      <c r="E3" s="1526"/>
      <c r="F3" s="1526"/>
      <c r="G3" s="1526"/>
      <c r="H3" s="1526"/>
      <c r="I3" s="1526"/>
    </row>
    <row r="4" spans="1:8" ht="15" customHeight="1">
      <c r="A4" s="348"/>
      <c r="B4" s="240"/>
      <c r="C4" s="240"/>
      <c r="D4" s="240"/>
      <c r="E4" s="240"/>
      <c r="F4" s="234"/>
      <c r="G4" s="234"/>
      <c r="H4" s="234"/>
    </row>
    <row r="5" spans="1:8" ht="15" customHeight="1" thickBot="1">
      <c r="A5" s="348"/>
      <c r="B5" s="240"/>
      <c r="C5" s="240"/>
      <c r="D5" s="240"/>
      <c r="E5" s="240"/>
      <c r="F5" s="234"/>
      <c r="G5" s="234"/>
      <c r="H5" s="234"/>
    </row>
    <row r="6" spans="1:9" ht="45.75" customHeight="1" thickTop="1">
      <c r="A6" s="1527" t="s">
        <v>599</v>
      </c>
      <c r="B6" s="1485"/>
      <c r="C6" s="1485"/>
      <c r="D6" s="1485"/>
      <c r="E6" s="1485"/>
      <c r="F6" s="1485"/>
      <c r="G6" s="332" t="s">
        <v>634</v>
      </c>
      <c r="H6" s="332" t="s">
        <v>682</v>
      </c>
      <c r="I6" s="333" t="s">
        <v>767</v>
      </c>
    </row>
    <row r="7" spans="1:9" ht="15" customHeight="1">
      <c r="A7" s="348"/>
      <c r="B7" s="240"/>
      <c r="C7" s="240"/>
      <c r="D7" s="240"/>
      <c r="E7" s="47"/>
      <c r="F7" s="43"/>
      <c r="G7" s="18"/>
      <c r="H7" s="43"/>
      <c r="I7" s="349"/>
    </row>
    <row r="8" spans="1:9" ht="15" customHeight="1">
      <c r="A8" s="350" t="s">
        <v>552</v>
      </c>
      <c r="B8" s="312"/>
      <c r="C8" s="312"/>
      <c r="D8" s="312"/>
      <c r="E8" s="47"/>
      <c r="F8" s="351" t="s">
        <v>383</v>
      </c>
      <c r="G8" s="68">
        <f>'INDEBITAMENTO 2021'!F4</f>
        <v>1754040.69</v>
      </c>
      <c r="H8" s="15">
        <f>'INDEBITAMENTO 2022'!F4</f>
        <v>1708000</v>
      </c>
      <c r="I8" s="15">
        <f>'INDEBITAMENTO 2023'!F4</f>
        <v>1682000</v>
      </c>
    </row>
    <row r="9" spans="1:9" ht="14.25" customHeight="1">
      <c r="A9" s="1497" t="s">
        <v>553</v>
      </c>
      <c r="B9" s="1498"/>
      <c r="C9" s="1498"/>
      <c r="D9" s="1498"/>
      <c r="E9" s="47"/>
      <c r="F9" s="138"/>
      <c r="G9" s="68"/>
      <c r="H9" s="15"/>
      <c r="I9" s="352"/>
    </row>
    <row r="10" spans="1:9" ht="15" customHeight="1">
      <c r="A10" s="1497"/>
      <c r="B10" s="1498"/>
      <c r="C10" s="1498"/>
      <c r="D10" s="1498"/>
      <c r="E10" s="353"/>
      <c r="F10" s="351" t="s">
        <v>383</v>
      </c>
      <c r="G10" s="68">
        <f>'INDEBITAMENTO 2021'!F5</f>
        <v>158919.3</v>
      </c>
      <c r="H10" s="15">
        <f>'INDEBITAMENTO 2022'!F5</f>
        <v>353220</v>
      </c>
      <c r="I10" s="15">
        <f>'INDEBITAMENTO 2023'!F5</f>
        <v>353220</v>
      </c>
    </row>
    <row r="11" spans="1:9" ht="15" customHeight="1">
      <c r="A11" s="325"/>
      <c r="B11" s="326"/>
      <c r="C11" s="326"/>
      <c r="D11" s="326"/>
      <c r="E11" s="353"/>
      <c r="F11" s="354"/>
      <c r="G11" s="68"/>
      <c r="H11" s="15"/>
      <c r="I11" s="352"/>
    </row>
    <row r="12" spans="1:9" ht="15" customHeight="1">
      <c r="A12" s="350" t="s">
        <v>554</v>
      </c>
      <c r="B12" s="312"/>
      <c r="C12" s="312"/>
      <c r="D12" s="312"/>
      <c r="E12" s="353"/>
      <c r="F12" s="351" t="s">
        <v>383</v>
      </c>
      <c r="G12" s="68">
        <f>'INDEBITAMENTO 2021'!F6</f>
        <v>436616.23</v>
      </c>
      <c r="H12" s="15">
        <f>'INDEBITAMENTO 2022'!F6</f>
        <v>301050</v>
      </c>
      <c r="I12" s="15">
        <f>'INDEBITAMENTO 2023'!F6</f>
        <v>301050</v>
      </c>
    </row>
    <row r="13" spans="1:9" ht="15" customHeight="1">
      <c r="A13" s="355"/>
      <c r="B13" s="356"/>
      <c r="C13" s="356"/>
      <c r="D13" s="356"/>
      <c r="E13" s="357"/>
      <c r="F13" s="358"/>
      <c r="G13" s="68"/>
      <c r="H13" s="15"/>
      <c r="I13" s="359"/>
    </row>
    <row r="14" spans="1:9" ht="15" customHeight="1">
      <c r="A14" s="348" t="s">
        <v>555</v>
      </c>
      <c r="B14" s="240"/>
      <c r="C14" s="240"/>
      <c r="D14" s="240"/>
      <c r="E14" s="47"/>
      <c r="F14" s="138"/>
      <c r="G14" s="360">
        <f>+G12+G10+G8</f>
        <v>2349576.2199999997</v>
      </c>
      <c r="H14" s="361">
        <f>+H12+H10+H8</f>
        <v>2362270</v>
      </c>
      <c r="I14" s="361">
        <f>+I12+I10+I8</f>
        <v>2336270</v>
      </c>
    </row>
    <row r="15" spans="1:9" ht="15" customHeight="1">
      <c r="A15" s="362"/>
      <c r="B15" s="47"/>
      <c r="C15" s="47"/>
      <c r="D15" s="47"/>
      <c r="E15" s="47"/>
      <c r="F15" s="363"/>
      <c r="G15" s="18"/>
      <c r="H15" s="138"/>
      <c r="I15" s="364"/>
    </row>
    <row r="16" spans="1:9" ht="15" customHeight="1">
      <c r="A16" s="334" t="s">
        <v>556</v>
      </c>
      <c r="B16" s="335"/>
      <c r="C16" s="335"/>
      <c r="D16" s="335"/>
      <c r="E16" s="335"/>
      <c r="F16" s="336"/>
      <c r="G16" s="336"/>
      <c r="H16" s="337"/>
      <c r="I16" s="338"/>
    </row>
    <row r="17" spans="1:9" ht="15" customHeight="1">
      <c r="A17" s="362"/>
      <c r="B17" s="47"/>
      <c r="C17" s="47"/>
      <c r="D17" s="47"/>
      <c r="E17" s="47"/>
      <c r="F17" s="43"/>
      <c r="G17" s="18"/>
      <c r="H17" s="138"/>
      <c r="I17" s="365"/>
    </row>
    <row r="18" spans="1:9" ht="15" customHeight="1">
      <c r="A18" s="1528" t="s">
        <v>600</v>
      </c>
      <c r="B18" s="1529"/>
      <c r="C18" s="1529"/>
      <c r="D18" s="1529"/>
      <c r="E18" s="1530"/>
      <c r="F18" s="351" t="s">
        <v>383</v>
      </c>
      <c r="G18" s="15">
        <f>+G14*10/100</f>
        <v>234957.62199999994</v>
      </c>
      <c r="H18" s="15">
        <f>+H14*10/100</f>
        <v>236227</v>
      </c>
      <c r="I18" s="15">
        <f>+I14*10/100</f>
        <v>233627</v>
      </c>
    </row>
    <row r="19" spans="1:9" ht="15" customHeight="1">
      <c r="A19" s="362"/>
      <c r="B19" s="47"/>
      <c r="C19" s="47"/>
      <c r="D19" s="47"/>
      <c r="E19" s="47"/>
      <c r="F19" s="138"/>
      <c r="G19" s="68"/>
      <c r="H19" s="15"/>
      <c r="I19" s="359"/>
    </row>
    <row r="20" spans="1:9" ht="32.25" customHeight="1">
      <c r="A20" s="1497" t="s">
        <v>670</v>
      </c>
      <c r="B20" s="1529"/>
      <c r="C20" s="1529"/>
      <c r="D20" s="1529"/>
      <c r="E20" s="1530"/>
      <c r="F20" s="351" t="s">
        <v>385</v>
      </c>
      <c r="G20" s="68">
        <f>'INDEBITAMENTO 2021'!F10</f>
        <v>37821.2</v>
      </c>
      <c r="H20" s="15">
        <f>'INDEBITAMENTO 2022'!F10</f>
        <v>31996.539999999997</v>
      </c>
      <c r="I20" s="15">
        <f>'INDEBITAMENTO 2023'!F10</f>
        <v>30150.76</v>
      </c>
    </row>
    <row r="21" spans="1:9" ht="15" customHeight="1">
      <c r="A21" s="368"/>
      <c r="B21" s="237"/>
      <c r="C21" s="237"/>
      <c r="D21" s="237"/>
      <c r="E21" s="47"/>
      <c r="F21" s="138"/>
      <c r="G21" s="68"/>
      <c r="H21" s="15"/>
      <c r="I21" s="369"/>
    </row>
    <row r="22" spans="1:11" ht="32.25" customHeight="1">
      <c r="A22" s="1528" t="s">
        <v>601</v>
      </c>
      <c r="B22" s="1529"/>
      <c r="C22" s="1529"/>
      <c r="D22" s="1529"/>
      <c r="E22" s="1530"/>
      <c r="F22" s="351" t="s">
        <v>385</v>
      </c>
      <c r="G22" s="68">
        <v>0</v>
      </c>
      <c r="H22" s="15">
        <f>'INDEBITAMENTO 2022'!F11</f>
        <v>2175.34</v>
      </c>
      <c r="I22" s="15">
        <v>0</v>
      </c>
      <c r="J22" s="370"/>
      <c r="K22" s="47"/>
    </row>
    <row r="23" spans="1:9" ht="15" customHeight="1">
      <c r="A23" s="362"/>
      <c r="B23" s="47"/>
      <c r="C23" s="47"/>
      <c r="D23" s="47"/>
      <c r="E23" s="47"/>
      <c r="F23" s="138"/>
      <c r="G23" s="68"/>
      <c r="H23" s="15"/>
      <c r="I23" s="359"/>
    </row>
    <row r="24" spans="1:9" ht="32.25" customHeight="1">
      <c r="A24" s="1528" t="s">
        <v>602</v>
      </c>
      <c r="B24" s="1529"/>
      <c r="C24" s="1529"/>
      <c r="D24" s="1529"/>
      <c r="E24" s="1530"/>
      <c r="F24" s="351" t="s">
        <v>383</v>
      </c>
      <c r="G24" s="68">
        <v>0</v>
      </c>
      <c r="H24" s="15">
        <v>0</v>
      </c>
      <c r="I24" s="15">
        <v>0</v>
      </c>
    </row>
    <row r="25" spans="1:9" ht="15" customHeight="1">
      <c r="A25" s="366"/>
      <c r="B25" s="367"/>
      <c r="C25" s="367"/>
      <c r="D25" s="367"/>
      <c r="E25" s="367"/>
      <c r="F25" s="371"/>
      <c r="G25" s="372"/>
      <c r="H25" s="373"/>
      <c r="I25" s="369"/>
    </row>
    <row r="26" spans="1:9" ht="15" customHeight="1">
      <c r="A26" s="1528" t="s">
        <v>559</v>
      </c>
      <c r="B26" s="1529"/>
      <c r="C26" s="1529"/>
      <c r="D26" s="1529"/>
      <c r="E26" s="1530"/>
      <c r="F26" s="351" t="s">
        <v>383</v>
      </c>
      <c r="G26" s="68">
        <v>0</v>
      </c>
      <c r="H26" s="15">
        <v>0</v>
      </c>
      <c r="I26" s="15">
        <v>0</v>
      </c>
    </row>
    <row r="27" spans="1:9" ht="15" customHeight="1">
      <c r="A27" s="366"/>
      <c r="B27" s="367"/>
      <c r="C27" s="367"/>
      <c r="D27" s="367"/>
      <c r="E27" s="367"/>
      <c r="F27" s="371"/>
      <c r="G27" s="372"/>
      <c r="H27" s="373"/>
      <c r="I27" s="352"/>
    </row>
    <row r="28" spans="1:9" ht="15" customHeight="1">
      <c r="A28" s="1528" t="s">
        <v>560</v>
      </c>
      <c r="B28" s="1529"/>
      <c r="C28" s="1529"/>
      <c r="D28" s="1529"/>
      <c r="E28" s="1530"/>
      <c r="F28" s="138"/>
      <c r="G28" s="15">
        <f>+G18-G20-G22+G24+G26</f>
        <v>197136.42199999996</v>
      </c>
      <c r="H28" s="15">
        <f>+H18-H20-H22+H24+H26</f>
        <v>202055.12</v>
      </c>
      <c r="I28" s="15">
        <f>+I18-I20-I22+I24+I26</f>
        <v>203476.24</v>
      </c>
    </row>
    <row r="29" spans="1:9" ht="15" customHeight="1">
      <c r="A29" s="362"/>
      <c r="B29" s="47"/>
      <c r="C29" s="47"/>
      <c r="D29" s="47"/>
      <c r="E29" s="47"/>
      <c r="F29" s="363"/>
      <c r="G29" s="68"/>
      <c r="H29" s="15"/>
      <c r="I29" s="374"/>
    </row>
    <row r="30" spans="1:9" ht="15" customHeight="1">
      <c r="A30" s="1531" t="s">
        <v>561</v>
      </c>
      <c r="B30" s="1532"/>
      <c r="C30" s="1532"/>
      <c r="D30" s="1532"/>
      <c r="E30" s="1532"/>
      <c r="F30" s="339"/>
      <c r="G30" s="339"/>
      <c r="H30" s="340"/>
      <c r="I30" s="341"/>
    </row>
    <row r="31" spans="1:9" ht="15" customHeight="1">
      <c r="A31" s="362"/>
      <c r="B31" s="47"/>
      <c r="C31" s="47"/>
      <c r="D31" s="47"/>
      <c r="E31" s="47"/>
      <c r="F31" s="43"/>
      <c r="G31" s="18"/>
      <c r="H31" s="138"/>
      <c r="I31" s="365"/>
    </row>
    <row r="32" spans="1:9" ht="15" customHeight="1">
      <c r="A32" s="1487" t="s">
        <v>603</v>
      </c>
      <c r="B32" s="1488"/>
      <c r="C32" s="1488"/>
      <c r="D32" s="1488"/>
      <c r="E32" s="47"/>
      <c r="F32" s="351" t="s">
        <v>383</v>
      </c>
      <c r="G32" s="68">
        <f>'INDEBITAMENTO 2021'!F18</f>
        <v>1059027.89</v>
      </c>
      <c r="H32" s="15">
        <f>'INDEBITAMENTO 2022'!F18</f>
        <v>925722.64</v>
      </c>
      <c r="I32" s="15">
        <f>'INDEBITAMENTO 2023'!F18</f>
        <v>790264.63</v>
      </c>
    </row>
    <row r="33" spans="1:9" ht="15" customHeight="1">
      <c r="A33" s="362"/>
      <c r="B33" s="47"/>
      <c r="C33" s="47"/>
      <c r="D33" s="47"/>
      <c r="E33" s="47"/>
      <c r="F33" s="138"/>
      <c r="G33" s="68"/>
      <c r="H33" s="15"/>
      <c r="I33" s="359"/>
    </row>
    <row r="34" spans="1:9" ht="15" customHeight="1">
      <c r="A34" s="1540" t="s">
        <v>604</v>
      </c>
      <c r="B34" s="1541"/>
      <c r="C34" s="1541"/>
      <c r="D34" s="1541"/>
      <c r="E34" s="47"/>
      <c r="F34" s="351" t="s">
        <v>383</v>
      </c>
      <c r="G34" s="68">
        <v>0</v>
      </c>
      <c r="H34" s="15">
        <v>0</v>
      </c>
      <c r="I34" s="15">
        <v>0</v>
      </c>
    </row>
    <row r="35" spans="1:9" ht="15" customHeight="1">
      <c r="A35" s="362"/>
      <c r="B35" s="47"/>
      <c r="C35" s="47"/>
      <c r="D35" s="47"/>
      <c r="E35" s="47"/>
      <c r="F35" s="138"/>
      <c r="G35" s="68"/>
      <c r="H35" s="15"/>
      <c r="I35" s="359"/>
    </row>
    <row r="36" spans="1:9" ht="15" customHeight="1">
      <c r="A36" s="1538" t="s">
        <v>562</v>
      </c>
      <c r="B36" s="1539"/>
      <c r="C36" s="1539"/>
      <c r="D36" s="1539"/>
      <c r="E36" s="238"/>
      <c r="F36" s="324"/>
      <c r="G36" s="381">
        <f>+G34+G32</f>
        <v>1059027.89</v>
      </c>
      <c r="H36" s="381">
        <f>+H34+H32</f>
        <v>925722.64</v>
      </c>
      <c r="I36" s="381">
        <f>+I34+I32</f>
        <v>790264.63</v>
      </c>
    </row>
    <row r="37" spans="1:9" ht="15" customHeight="1">
      <c r="A37" s="375"/>
      <c r="B37" s="376"/>
      <c r="C37" s="376"/>
      <c r="D37" s="376"/>
      <c r="E37" s="376"/>
      <c r="F37" s="363"/>
      <c r="G37" s="65"/>
      <c r="H37" s="382"/>
      <c r="I37" s="374"/>
    </row>
    <row r="38" spans="1:9" ht="15" customHeight="1">
      <c r="A38" s="342" t="s">
        <v>563</v>
      </c>
      <c r="B38" s="343"/>
      <c r="C38" s="343"/>
      <c r="D38" s="343"/>
      <c r="E38" s="343"/>
      <c r="F38" s="344"/>
      <c r="G38" s="344"/>
      <c r="H38" s="345"/>
      <c r="I38" s="346"/>
    </row>
    <row r="39" spans="1:9" ht="36.75" customHeight="1">
      <c r="A39" s="1533" t="s">
        <v>564</v>
      </c>
      <c r="B39" s="1534"/>
      <c r="C39" s="1534"/>
      <c r="D39" s="1534"/>
      <c r="E39" s="1535"/>
      <c r="F39" s="377"/>
      <c r="G39" s="68">
        <v>0</v>
      </c>
      <c r="H39" s="15">
        <v>0</v>
      </c>
      <c r="I39" s="15">
        <v>0</v>
      </c>
    </row>
    <row r="40" spans="1:9" ht="23.25" customHeight="1">
      <c r="A40" s="1528" t="s">
        <v>605</v>
      </c>
      <c r="B40" s="1529"/>
      <c r="C40" s="1529"/>
      <c r="D40" s="1529"/>
      <c r="E40" s="1530"/>
      <c r="F40" s="378"/>
      <c r="G40" s="68">
        <v>0</v>
      </c>
      <c r="H40" s="15">
        <v>0</v>
      </c>
      <c r="I40" s="15">
        <v>0</v>
      </c>
    </row>
    <row r="41" spans="1:9" ht="22.5" customHeight="1">
      <c r="A41" s="1528" t="s">
        <v>566</v>
      </c>
      <c r="B41" s="1529"/>
      <c r="C41" s="1529"/>
      <c r="D41" s="1529"/>
      <c r="E41" s="1530"/>
      <c r="F41" s="378"/>
      <c r="G41" s="68">
        <v>0</v>
      </c>
      <c r="H41" s="15">
        <v>0</v>
      </c>
      <c r="I41" s="15">
        <v>0</v>
      </c>
    </row>
    <row r="42" spans="1:9" ht="15" customHeight="1">
      <c r="A42" s="375"/>
      <c r="B42" s="376"/>
      <c r="C42" s="376"/>
      <c r="D42" s="376"/>
      <c r="E42" s="376"/>
      <c r="F42" s="363"/>
      <c r="G42" s="55"/>
      <c r="H42" s="363"/>
      <c r="I42" s="379"/>
    </row>
    <row r="43" ht="15" customHeight="1">
      <c r="A43" s="380"/>
    </row>
    <row r="44" spans="1:10" ht="70.5" customHeight="1">
      <c r="A44" s="1537" t="s">
        <v>606</v>
      </c>
      <c r="B44" s="1537"/>
      <c r="C44" s="1537"/>
      <c r="D44" s="1537"/>
      <c r="E44" s="1537"/>
      <c r="F44" s="1537"/>
      <c r="G44" s="1537"/>
      <c r="H44" s="1537"/>
      <c r="I44" s="1537"/>
      <c r="J44" s="236"/>
    </row>
    <row r="45" spans="1:9" ht="15" customHeight="1">
      <c r="A45" s="1536" t="s">
        <v>570</v>
      </c>
      <c r="B45" s="1536"/>
      <c r="C45" s="1536"/>
      <c r="D45" s="1536"/>
      <c r="E45" s="1536"/>
      <c r="F45" s="1536"/>
      <c r="G45" s="1536"/>
      <c r="H45" s="1536"/>
      <c r="I45" s="1536"/>
    </row>
  </sheetData>
  <sheetProtection/>
  <mergeCells count="19">
    <mergeCell ref="A45:I45"/>
    <mergeCell ref="A40:E40"/>
    <mergeCell ref="A41:E41"/>
    <mergeCell ref="A44:I44"/>
    <mergeCell ref="A36:D36"/>
    <mergeCell ref="A32:D32"/>
    <mergeCell ref="A34:D34"/>
    <mergeCell ref="A22:E22"/>
    <mergeCell ref="A24:E24"/>
    <mergeCell ref="A26:E26"/>
    <mergeCell ref="A28:E28"/>
    <mergeCell ref="A30:E30"/>
    <mergeCell ref="A39:E39"/>
    <mergeCell ref="A1:I1"/>
    <mergeCell ref="A3:I3"/>
    <mergeCell ref="A6:F6"/>
    <mergeCell ref="A9:D10"/>
    <mergeCell ref="A18:E18"/>
    <mergeCell ref="A20:E2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AF441"/>
  <sheetViews>
    <sheetView showGridLines="0" zoomScale="70" zoomScaleNormal="70" zoomScaleSheetLayoutView="70" zoomScalePageLayoutView="0" workbookViewId="0" topLeftCell="A1">
      <pane ySplit="6" topLeftCell="A7" activePane="bottomLeft" state="frozen"/>
      <selection pane="topLeft" activeCell="A1" sqref="A1"/>
      <selection pane="bottomLeft" activeCell="A5" sqref="A5"/>
    </sheetView>
  </sheetViews>
  <sheetFormatPr defaultColWidth="9.140625" defaultRowHeight="12.75"/>
  <cols>
    <col min="1" max="1" width="10.7109375" style="718" customWidth="1"/>
    <col min="2" max="2" width="11.57421875" style="718" customWidth="1"/>
    <col min="3" max="3" width="8.140625" style="718" customWidth="1"/>
    <col min="4" max="4" width="9.7109375" style="718" customWidth="1"/>
    <col min="5" max="5" width="11.7109375" style="719" customWidth="1"/>
    <col min="6" max="6" width="14.00390625" style="720" customWidth="1"/>
    <col min="7" max="7" width="60.140625" style="582" customWidth="1"/>
    <col min="8" max="8" width="17.8515625" style="582" customWidth="1"/>
    <col min="9" max="10" width="17.57421875" style="582" hidden="1" customWidth="1"/>
    <col min="11" max="11" width="18.7109375" style="758" customWidth="1"/>
    <col min="12" max="12" width="17.7109375" style="758" customWidth="1"/>
    <col min="13" max="13" width="18.8515625" style="758" customWidth="1"/>
    <col min="14" max="15" width="15.7109375" style="582" hidden="1" customWidth="1"/>
    <col min="16" max="16" width="18.8515625" style="582" customWidth="1"/>
    <col min="17" max="18" width="15.7109375" style="582" hidden="1" customWidth="1"/>
    <col min="19" max="19" width="19.140625" style="582" customWidth="1"/>
    <col min="20" max="21" width="15.7109375" style="582" hidden="1" customWidth="1"/>
    <col min="22" max="22" width="17.8515625" style="758" customWidth="1"/>
    <col min="23" max="23" width="18.8515625" style="582" hidden="1" customWidth="1"/>
    <col min="24" max="24" width="17.28125" style="582" hidden="1" customWidth="1"/>
    <col min="25" max="25" width="3.00390625" style="582" customWidth="1"/>
    <col min="26" max="26" width="13.28125" style="583" customWidth="1"/>
    <col min="27" max="27" width="12.140625" style="583" hidden="1" customWidth="1"/>
    <col min="28" max="28" width="13.28125" style="584" hidden="1" customWidth="1"/>
    <col min="29" max="29" width="9.140625" style="582" customWidth="1"/>
    <col min="30" max="30" width="20.00390625" style="758" bestFit="1" customWidth="1"/>
    <col min="31" max="31" width="9.140625" style="758" customWidth="1"/>
    <col min="32" max="32" width="23.28125" style="758" customWidth="1"/>
    <col min="33" max="16384" width="9.140625" style="582" customWidth="1"/>
  </cols>
  <sheetData>
    <row r="1" spans="1:28" s="758" customFormat="1" ht="27" customHeight="1">
      <c r="A1" s="1385" t="str">
        <f>ENTRATA!A1</f>
        <v>COMUNE DI MONTEGALDA</v>
      </c>
      <c r="B1" s="1385"/>
      <c r="C1" s="1385"/>
      <c r="D1" s="1385"/>
      <c r="E1" s="1385"/>
      <c r="F1" s="1385"/>
      <c r="G1" s="1385"/>
      <c r="H1" s="1385"/>
      <c r="I1" s="1385"/>
      <c r="J1" s="1385"/>
      <c r="K1" s="1385"/>
      <c r="L1" s="917"/>
      <c r="Z1" s="941"/>
      <c r="AA1" s="941"/>
      <c r="AB1" s="942"/>
    </row>
    <row r="2" spans="1:28" s="773" customFormat="1" ht="34.5" customHeight="1">
      <c r="A2" s="1386" t="str">
        <f>ENTRATA!A2</f>
        <v>BILANCIO DI PREVISIONE 2021 - 2023</v>
      </c>
      <c r="B2" s="1386"/>
      <c r="C2" s="1386"/>
      <c r="D2" s="1386"/>
      <c r="E2" s="1386"/>
      <c r="F2" s="1386"/>
      <c r="G2" s="1386"/>
      <c r="H2" s="1386"/>
      <c r="I2" s="1386"/>
      <c r="J2" s="1386"/>
      <c r="K2" s="1386"/>
      <c r="L2" s="870"/>
      <c r="Z2" s="941"/>
      <c r="AA2" s="941"/>
      <c r="AB2" s="943"/>
    </row>
    <row r="3" spans="1:28" s="773" customFormat="1" ht="24" customHeight="1" thickBot="1">
      <c r="A3" s="1387" t="s">
        <v>148</v>
      </c>
      <c r="B3" s="1387"/>
      <c r="C3" s="1387"/>
      <c r="D3" s="724"/>
      <c r="E3" s="724"/>
      <c r="F3" s="944"/>
      <c r="G3" s="724"/>
      <c r="H3" s="724"/>
      <c r="I3" s="724"/>
      <c r="J3" s="724"/>
      <c r="K3" s="724"/>
      <c r="L3" s="724"/>
      <c r="Z3" s="941"/>
      <c r="AA3" s="941"/>
      <c r="AB3" s="943"/>
    </row>
    <row r="4" spans="1:28" s="773" customFormat="1" ht="34.5" customHeight="1" thickBot="1">
      <c r="A4" s="1388" t="s">
        <v>29</v>
      </c>
      <c r="B4" s="1389"/>
      <c r="C4" s="1389"/>
      <c r="D4" s="1389"/>
      <c r="E4" s="1389"/>
      <c r="F4" s="1389"/>
      <c r="G4" s="1389"/>
      <c r="H4" s="1389"/>
      <c r="I4" s="1389"/>
      <c r="J4" s="1389"/>
      <c r="K4" s="1389"/>
      <c r="L4" s="1389"/>
      <c r="M4" s="1389"/>
      <c r="N4" s="1389"/>
      <c r="O4" s="1389"/>
      <c r="P4" s="1389"/>
      <c r="Q4" s="1389"/>
      <c r="R4" s="1389"/>
      <c r="S4" s="1389"/>
      <c r="T4" s="1389"/>
      <c r="U4" s="1389"/>
      <c r="V4" s="830" t="s">
        <v>211</v>
      </c>
      <c r="W4" s="945"/>
      <c r="X4" s="946"/>
      <c r="Z4" s="941"/>
      <c r="AA4" s="941"/>
      <c r="AB4" s="943"/>
    </row>
    <row r="5" spans="1:28" s="852" customFormat="1" ht="53.25" customHeight="1" thickBot="1">
      <c r="A5" s="947" t="s">
        <v>80</v>
      </c>
      <c r="B5" s="948" t="s">
        <v>81</v>
      </c>
      <c r="C5" s="948" t="s">
        <v>9</v>
      </c>
      <c r="D5" s="948" t="s">
        <v>468</v>
      </c>
      <c r="E5" s="949" t="s">
        <v>190</v>
      </c>
      <c r="F5" s="949" t="s">
        <v>443</v>
      </c>
      <c r="G5" s="948" t="s">
        <v>134</v>
      </c>
      <c r="H5" s="725" t="s">
        <v>1027</v>
      </c>
      <c r="I5" s="725" t="s">
        <v>626</v>
      </c>
      <c r="J5" s="725" t="s">
        <v>629</v>
      </c>
      <c r="K5" s="725" t="s">
        <v>1028</v>
      </c>
      <c r="L5" s="725" t="s">
        <v>760</v>
      </c>
      <c r="M5" s="725" t="s">
        <v>628</v>
      </c>
      <c r="N5" s="725" t="s">
        <v>732</v>
      </c>
      <c r="O5" s="878" t="s">
        <v>233</v>
      </c>
      <c r="P5" s="873" t="s">
        <v>679</v>
      </c>
      <c r="Q5" s="873" t="s">
        <v>733</v>
      </c>
      <c r="R5" s="878" t="s">
        <v>233</v>
      </c>
      <c r="S5" s="873" t="s">
        <v>759</v>
      </c>
      <c r="T5" s="873" t="s">
        <v>734</v>
      </c>
      <c r="U5" s="878" t="s">
        <v>233</v>
      </c>
      <c r="V5" s="865" t="s">
        <v>676</v>
      </c>
      <c r="W5" s="950" t="s">
        <v>676</v>
      </c>
      <c r="X5" s="951" t="s">
        <v>680</v>
      </c>
      <c r="Z5" s="952" t="s">
        <v>675</v>
      </c>
      <c r="AA5" s="952" t="s">
        <v>675</v>
      </c>
      <c r="AB5" s="952" t="s">
        <v>681</v>
      </c>
    </row>
    <row r="6" spans="1:28" s="853" customFormat="1" ht="21" customHeight="1" thickBot="1">
      <c r="A6" s="1336" t="s">
        <v>31</v>
      </c>
      <c r="B6" s="1337"/>
      <c r="C6" s="1337"/>
      <c r="D6" s="1337"/>
      <c r="E6" s="1337"/>
      <c r="F6" s="1337"/>
      <c r="G6" s="1338"/>
      <c r="H6" s="1342"/>
      <c r="I6" s="1343"/>
      <c r="J6" s="1343"/>
      <c r="K6" s="1343"/>
      <c r="L6" s="1343"/>
      <c r="M6" s="1343"/>
      <c r="N6" s="1343"/>
      <c r="O6" s="1343"/>
      <c r="P6" s="1343"/>
      <c r="Q6" s="1343"/>
      <c r="R6" s="1343"/>
      <c r="S6" s="1343"/>
      <c r="T6" s="1343"/>
      <c r="U6" s="1343"/>
      <c r="V6" s="1343"/>
      <c r="W6" s="1343"/>
      <c r="X6" s="1344"/>
      <c r="Z6" s="1345"/>
      <c r="AA6" s="1346"/>
      <c r="AB6" s="1347"/>
    </row>
    <row r="7" spans="1:28" s="773" customFormat="1" ht="27.75" customHeight="1">
      <c r="A7" s="953">
        <v>1</v>
      </c>
      <c r="B7" s="954">
        <v>1</v>
      </c>
      <c r="C7" s="954">
        <v>1</v>
      </c>
      <c r="D7" s="923">
        <v>3</v>
      </c>
      <c r="E7" s="955">
        <v>101</v>
      </c>
      <c r="F7" s="923" t="s">
        <v>97</v>
      </c>
      <c r="G7" s="956" t="s">
        <v>424</v>
      </c>
      <c r="H7" s="731"/>
      <c r="I7" s="731"/>
      <c r="J7" s="731"/>
      <c r="K7" s="726"/>
      <c r="L7" s="726"/>
      <c r="M7" s="731">
        <v>5000</v>
      </c>
      <c r="N7" s="921"/>
      <c r="O7" s="921"/>
      <c r="P7" s="921">
        <v>0</v>
      </c>
      <c r="Q7" s="779"/>
      <c r="R7" s="779"/>
      <c r="S7" s="741">
        <v>0</v>
      </c>
      <c r="T7" s="780"/>
      <c r="U7" s="779"/>
      <c r="V7" s="832">
        <f>H7+M7</f>
        <v>5000</v>
      </c>
      <c r="W7" s="957"/>
      <c r="X7" s="958"/>
      <c r="Z7" s="788">
        <f aca="true" t="shared" si="0" ref="Z7:Z18">IF(V7&gt;(H7+M7+N7),"ERRORE","")</f>
      </c>
      <c r="AA7" s="788">
        <f aca="true" t="shared" si="1" ref="AA7:AA17">IF(W7&gt;(I7+N7+O7),"ERRORE","")</f>
      </c>
      <c r="AB7" s="788">
        <f aca="true" t="shared" si="2" ref="AB7:AB18">IF(X7&gt;(J7+O7+P7),"ERRORE","")</f>
      </c>
    </row>
    <row r="8" spans="1:28" s="773" customFormat="1" ht="27.75" customHeight="1">
      <c r="A8" s="953">
        <v>1</v>
      </c>
      <c r="B8" s="954">
        <v>1</v>
      </c>
      <c r="C8" s="954">
        <v>1</v>
      </c>
      <c r="D8" s="923">
        <v>4</v>
      </c>
      <c r="E8" s="955">
        <v>101</v>
      </c>
      <c r="F8" s="924" t="s">
        <v>98</v>
      </c>
      <c r="G8" s="959" t="s">
        <v>423</v>
      </c>
      <c r="H8" s="731"/>
      <c r="I8" s="731"/>
      <c r="J8" s="731"/>
      <c r="K8" s="726"/>
      <c r="L8" s="726"/>
      <c r="M8" s="731">
        <v>1200</v>
      </c>
      <c r="N8" s="921"/>
      <c r="O8" s="921"/>
      <c r="P8" s="921">
        <v>0</v>
      </c>
      <c r="Q8" s="921"/>
      <c r="R8" s="921"/>
      <c r="S8" s="731">
        <v>0</v>
      </c>
      <c r="T8" s="780"/>
      <c r="U8" s="921"/>
      <c r="V8" s="781">
        <f>H8+M8</f>
        <v>1200</v>
      </c>
      <c r="W8" s="957"/>
      <c r="X8" s="958"/>
      <c r="Z8" s="788">
        <f t="shared" si="0"/>
      </c>
      <c r="AA8" s="788">
        <f t="shared" si="1"/>
      </c>
      <c r="AB8" s="788">
        <f t="shared" si="2"/>
      </c>
    </row>
    <row r="9" spans="1:28" s="773" customFormat="1" ht="27.75" customHeight="1">
      <c r="A9" s="960">
        <v>1</v>
      </c>
      <c r="B9" s="961">
        <v>1</v>
      </c>
      <c r="C9" s="961">
        <v>1</v>
      </c>
      <c r="D9" s="962">
        <v>5</v>
      </c>
      <c r="E9" s="961">
        <v>103</v>
      </c>
      <c r="F9" s="924" t="s">
        <v>102</v>
      </c>
      <c r="G9" s="966" t="s">
        <v>96</v>
      </c>
      <c r="H9" s="727">
        <v>295.9</v>
      </c>
      <c r="I9" s="727"/>
      <c r="J9" s="727"/>
      <c r="K9" s="727">
        <v>1000</v>
      </c>
      <c r="L9" s="727"/>
      <c r="M9" s="774">
        <v>1000</v>
      </c>
      <c r="N9" s="774"/>
      <c r="O9" s="774"/>
      <c r="P9" s="728">
        <v>1000</v>
      </c>
      <c r="Q9" s="774"/>
      <c r="R9" s="774"/>
      <c r="S9" s="728">
        <v>1000</v>
      </c>
      <c r="T9" s="777"/>
      <c r="U9" s="774"/>
      <c r="V9" s="781">
        <f aca="true" t="shared" si="3" ref="V9:V19">H9+M9</f>
        <v>1295.9</v>
      </c>
      <c r="W9" s="963"/>
      <c r="X9" s="964"/>
      <c r="Z9" s="788">
        <f>IF(V9&gt;(H9+M9+N9),"ERRORE","")</f>
      </c>
      <c r="AA9" s="788">
        <f>IF(W9&gt;(I9+N9+O9),"ERRORE","")</f>
      </c>
      <c r="AB9" s="788">
        <f>IF(X9&gt;(J9+O9+P9),"ERRORE","")</f>
      </c>
    </row>
    <row r="10" spans="1:28" s="773" customFormat="1" ht="27.75" customHeight="1">
      <c r="A10" s="960">
        <v>1</v>
      </c>
      <c r="B10" s="961">
        <v>1</v>
      </c>
      <c r="C10" s="961">
        <v>1</v>
      </c>
      <c r="D10" s="962">
        <v>10</v>
      </c>
      <c r="E10" s="961">
        <v>103</v>
      </c>
      <c r="F10" s="924" t="s">
        <v>101</v>
      </c>
      <c r="G10" s="959" t="s">
        <v>209</v>
      </c>
      <c r="H10" s="728">
        <v>3285.18</v>
      </c>
      <c r="I10" s="728"/>
      <c r="J10" s="728"/>
      <c r="K10" s="727">
        <v>36500</v>
      </c>
      <c r="L10" s="727"/>
      <c r="M10" s="774">
        <v>36500</v>
      </c>
      <c r="N10" s="728"/>
      <c r="O10" s="774"/>
      <c r="P10" s="728">
        <v>36500</v>
      </c>
      <c r="Q10" s="774"/>
      <c r="R10" s="774"/>
      <c r="S10" s="728">
        <v>36500</v>
      </c>
      <c r="T10" s="777"/>
      <c r="U10" s="774"/>
      <c r="V10" s="781">
        <f t="shared" si="3"/>
        <v>39785.18</v>
      </c>
      <c r="W10" s="963"/>
      <c r="X10" s="964"/>
      <c r="Z10" s="788">
        <f t="shared" si="0"/>
      </c>
      <c r="AA10" s="788">
        <f t="shared" si="1"/>
      </c>
      <c r="AB10" s="788">
        <f t="shared" si="2"/>
      </c>
    </row>
    <row r="11" spans="1:28" s="773" customFormat="1" ht="27.75" customHeight="1">
      <c r="A11" s="960">
        <v>1</v>
      </c>
      <c r="B11" s="961">
        <v>1</v>
      </c>
      <c r="C11" s="961">
        <v>1</v>
      </c>
      <c r="D11" s="962">
        <v>12</v>
      </c>
      <c r="E11" s="961">
        <v>103</v>
      </c>
      <c r="F11" s="924" t="s">
        <v>1000</v>
      </c>
      <c r="G11" s="966" t="s">
        <v>744</v>
      </c>
      <c r="H11" s="727">
        <v>736.6</v>
      </c>
      <c r="I11" s="727"/>
      <c r="J11" s="727"/>
      <c r="K11" s="727"/>
      <c r="L11" s="727"/>
      <c r="M11" s="774">
        <v>0</v>
      </c>
      <c r="N11" s="774"/>
      <c r="O11" s="774"/>
      <c r="P11" s="728">
        <v>0</v>
      </c>
      <c r="Q11" s="774"/>
      <c r="R11" s="774"/>
      <c r="S11" s="728">
        <v>0</v>
      </c>
      <c r="T11" s="777"/>
      <c r="U11" s="774"/>
      <c r="V11" s="781">
        <f t="shared" si="3"/>
        <v>736.6</v>
      </c>
      <c r="W11" s="963"/>
      <c r="X11" s="964"/>
      <c r="Z11" s="788">
        <f t="shared" si="0"/>
      </c>
      <c r="AA11" s="788"/>
      <c r="AB11" s="788">
        <f t="shared" si="2"/>
      </c>
    </row>
    <row r="12" spans="1:28" s="773" customFormat="1" ht="27.75" customHeight="1">
      <c r="A12" s="960">
        <v>1</v>
      </c>
      <c r="B12" s="961">
        <v>1</v>
      </c>
      <c r="C12" s="961">
        <v>1</v>
      </c>
      <c r="D12" s="962">
        <v>13</v>
      </c>
      <c r="E12" s="961">
        <v>103</v>
      </c>
      <c r="F12" s="924" t="s">
        <v>102</v>
      </c>
      <c r="G12" s="959" t="s">
        <v>164</v>
      </c>
      <c r="H12" s="728">
        <v>1913.07</v>
      </c>
      <c r="I12" s="728"/>
      <c r="J12" s="728"/>
      <c r="K12" s="727">
        <v>2000</v>
      </c>
      <c r="L12" s="727"/>
      <c r="M12" s="774">
        <v>2000</v>
      </c>
      <c r="N12" s="774"/>
      <c r="O12" s="774"/>
      <c r="P12" s="728">
        <v>2000</v>
      </c>
      <c r="Q12" s="774"/>
      <c r="R12" s="774"/>
      <c r="S12" s="728">
        <v>2000</v>
      </c>
      <c r="T12" s="777"/>
      <c r="U12" s="774"/>
      <c r="V12" s="781">
        <f t="shared" si="3"/>
        <v>3913.0699999999997</v>
      </c>
      <c r="W12" s="963"/>
      <c r="X12" s="964"/>
      <c r="Z12" s="788">
        <f t="shared" si="0"/>
      </c>
      <c r="AA12" s="788">
        <f t="shared" si="1"/>
      </c>
      <c r="AB12" s="788">
        <f t="shared" si="2"/>
      </c>
    </row>
    <row r="13" spans="1:28" s="773" customFormat="1" ht="27.75" customHeight="1">
      <c r="A13" s="960">
        <v>1</v>
      </c>
      <c r="B13" s="961">
        <v>1</v>
      </c>
      <c r="C13" s="961">
        <v>1</v>
      </c>
      <c r="D13" s="924">
        <v>14</v>
      </c>
      <c r="E13" s="965">
        <v>103</v>
      </c>
      <c r="F13" s="924" t="s">
        <v>99</v>
      </c>
      <c r="G13" s="959" t="s">
        <v>171</v>
      </c>
      <c r="H13" s="728"/>
      <c r="I13" s="728"/>
      <c r="J13" s="728"/>
      <c r="K13" s="727"/>
      <c r="L13" s="727"/>
      <c r="M13" s="774">
        <v>1000</v>
      </c>
      <c r="N13" s="774"/>
      <c r="O13" s="774"/>
      <c r="P13" s="728">
        <v>0</v>
      </c>
      <c r="Q13" s="774"/>
      <c r="R13" s="774"/>
      <c r="S13" s="728">
        <v>0</v>
      </c>
      <c r="T13" s="777"/>
      <c r="U13" s="774"/>
      <c r="V13" s="781">
        <f t="shared" si="3"/>
        <v>1000</v>
      </c>
      <c r="W13" s="963"/>
      <c r="X13" s="964"/>
      <c r="Z13" s="788">
        <f aca="true" t="shared" si="4" ref="Z13:AB14">IF(V13&gt;(H13+M13+N13),"ERRORE","")</f>
      </c>
      <c r="AA13" s="788">
        <f t="shared" si="4"/>
      </c>
      <c r="AB13" s="788">
        <f t="shared" si="4"/>
      </c>
    </row>
    <row r="14" spans="1:28" s="773" customFormat="1" ht="27.75" customHeight="1">
      <c r="A14" s="960">
        <v>1</v>
      </c>
      <c r="B14" s="961">
        <v>1</v>
      </c>
      <c r="C14" s="961">
        <v>1</v>
      </c>
      <c r="D14" s="962">
        <v>15</v>
      </c>
      <c r="E14" s="961">
        <v>102</v>
      </c>
      <c r="F14" s="924" t="s">
        <v>105</v>
      </c>
      <c r="G14" s="959" t="s">
        <v>165</v>
      </c>
      <c r="H14" s="728">
        <v>411.77</v>
      </c>
      <c r="I14" s="728"/>
      <c r="J14" s="728"/>
      <c r="K14" s="727">
        <v>3150</v>
      </c>
      <c r="L14" s="727"/>
      <c r="M14" s="774">
        <v>3150</v>
      </c>
      <c r="N14" s="774"/>
      <c r="O14" s="774"/>
      <c r="P14" s="727">
        <v>3150</v>
      </c>
      <c r="Q14" s="774"/>
      <c r="R14" s="774"/>
      <c r="S14" s="727">
        <v>3150</v>
      </c>
      <c r="T14" s="777"/>
      <c r="U14" s="774"/>
      <c r="V14" s="781">
        <f t="shared" si="3"/>
        <v>3561.77</v>
      </c>
      <c r="W14" s="963"/>
      <c r="X14" s="964"/>
      <c r="Z14" s="788">
        <f t="shared" si="4"/>
      </c>
      <c r="AA14" s="788">
        <f t="shared" si="4"/>
      </c>
      <c r="AB14" s="788">
        <f t="shared" si="4"/>
      </c>
    </row>
    <row r="15" spans="1:28" s="773" customFormat="1" ht="27.75" customHeight="1">
      <c r="A15" s="960">
        <v>1</v>
      </c>
      <c r="B15" s="961">
        <v>1</v>
      </c>
      <c r="C15" s="961">
        <v>1</v>
      </c>
      <c r="D15" s="924">
        <v>17</v>
      </c>
      <c r="E15" s="965">
        <v>103</v>
      </c>
      <c r="F15" s="924" t="s">
        <v>103</v>
      </c>
      <c r="G15" s="959" t="s">
        <v>172</v>
      </c>
      <c r="H15" s="728"/>
      <c r="I15" s="728"/>
      <c r="J15" s="728"/>
      <c r="K15" s="727"/>
      <c r="L15" s="727"/>
      <c r="M15" s="774">
        <v>2500</v>
      </c>
      <c r="N15" s="774"/>
      <c r="O15" s="774"/>
      <c r="P15" s="728">
        <v>0</v>
      </c>
      <c r="Q15" s="774"/>
      <c r="R15" s="774"/>
      <c r="S15" s="728">
        <v>0</v>
      </c>
      <c r="T15" s="777"/>
      <c r="U15" s="774"/>
      <c r="V15" s="781">
        <f t="shared" si="3"/>
        <v>2500</v>
      </c>
      <c r="W15" s="963"/>
      <c r="X15" s="964"/>
      <c r="Z15" s="788">
        <f t="shared" si="0"/>
      </c>
      <c r="AA15" s="788">
        <f t="shared" si="1"/>
      </c>
      <c r="AB15" s="788">
        <f t="shared" si="2"/>
      </c>
    </row>
    <row r="16" spans="1:28" s="773" customFormat="1" ht="27.75" customHeight="1">
      <c r="A16" s="782">
        <v>1</v>
      </c>
      <c r="B16" s="783">
        <v>1</v>
      </c>
      <c r="C16" s="783">
        <v>1</v>
      </c>
      <c r="D16" s="784">
        <v>18</v>
      </c>
      <c r="E16" s="965">
        <v>102</v>
      </c>
      <c r="F16" s="924" t="s">
        <v>105</v>
      </c>
      <c r="G16" s="959" t="s">
        <v>173</v>
      </c>
      <c r="H16" s="727"/>
      <c r="I16" s="727"/>
      <c r="J16" s="727"/>
      <c r="K16" s="728"/>
      <c r="L16" s="728"/>
      <c r="M16" s="728">
        <v>450</v>
      </c>
      <c r="N16" s="775"/>
      <c r="O16" s="775"/>
      <c r="P16" s="728">
        <v>0</v>
      </c>
      <c r="Q16" s="774"/>
      <c r="R16" s="774"/>
      <c r="S16" s="728">
        <v>0</v>
      </c>
      <c r="T16" s="799"/>
      <c r="U16" s="775"/>
      <c r="V16" s="781">
        <f t="shared" si="3"/>
        <v>450</v>
      </c>
      <c r="W16" s="968"/>
      <c r="X16" s="969"/>
      <c r="Z16" s="788">
        <f>IF(V16&gt;(H16+M16+N16),"ERRORE","")</f>
      </c>
      <c r="AA16" s="788">
        <f>IF(W16&gt;(I16+N16+O16),"ERRORE","")</f>
      </c>
      <c r="AB16" s="788">
        <f>IF(X16&gt;(J16+O16+P16),"ERRORE","")</f>
      </c>
    </row>
    <row r="17" spans="1:28" s="773" customFormat="1" ht="27.75" customHeight="1">
      <c r="A17" s="960">
        <v>1</v>
      </c>
      <c r="B17" s="961">
        <v>1</v>
      </c>
      <c r="C17" s="961">
        <v>1</v>
      </c>
      <c r="D17" s="962">
        <v>200</v>
      </c>
      <c r="E17" s="961">
        <v>103</v>
      </c>
      <c r="F17" s="924" t="s">
        <v>103</v>
      </c>
      <c r="G17" s="959" t="s">
        <v>210</v>
      </c>
      <c r="H17" s="728">
        <v>0</v>
      </c>
      <c r="I17" s="728"/>
      <c r="J17" s="728"/>
      <c r="K17" s="728">
        <v>800</v>
      </c>
      <c r="L17" s="728"/>
      <c r="M17" s="774">
        <v>1000</v>
      </c>
      <c r="N17" s="774"/>
      <c r="O17" s="774"/>
      <c r="P17" s="728">
        <v>1000</v>
      </c>
      <c r="Q17" s="774"/>
      <c r="R17" s="774"/>
      <c r="S17" s="728">
        <v>1000</v>
      </c>
      <c r="T17" s="777"/>
      <c r="U17" s="774"/>
      <c r="V17" s="781">
        <f t="shared" si="3"/>
        <v>1000</v>
      </c>
      <c r="W17" s="963"/>
      <c r="X17" s="964"/>
      <c r="Z17" s="788">
        <f t="shared" si="0"/>
      </c>
      <c r="AA17" s="788">
        <f t="shared" si="1"/>
      </c>
      <c r="AB17" s="788">
        <f t="shared" si="2"/>
      </c>
    </row>
    <row r="18" spans="1:28" s="773" customFormat="1" ht="27.75" customHeight="1">
      <c r="A18" s="782">
        <v>1</v>
      </c>
      <c r="B18" s="783">
        <v>1</v>
      </c>
      <c r="C18" s="783">
        <v>1</v>
      </c>
      <c r="D18" s="971">
        <v>370</v>
      </c>
      <c r="E18" s="961">
        <v>104</v>
      </c>
      <c r="F18" s="924" t="s">
        <v>999</v>
      </c>
      <c r="G18" s="966" t="s">
        <v>745</v>
      </c>
      <c r="H18" s="728">
        <v>184.19</v>
      </c>
      <c r="I18" s="728"/>
      <c r="J18" s="728"/>
      <c r="K18" s="728">
        <v>0</v>
      </c>
      <c r="L18" s="728"/>
      <c r="M18" s="774">
        <v>0</v>
      </c>
      <c r="N18" s="775"/>
      <c r="O18" s="775"/>
      <c r="P18" s="728">
        <v>0</v>
      </c>
      <c r="Q18" s="774"/>
      <c r="R18" s="774"/>
      <c r="S18" s="728">
        <v>0</v>
      </c>
      <c r="T18" s="799"/>
      <c r="U18" s="775"/>
      <c r="V18" s="781">
        <f t="shared" si="3"/>
        <v>184.19</v>
      </c>
      <c r="W18" s="968"/>
      <c r="X18" s="969"/>
      <c r="Z18" s="788">
        <f t="shared" si="0"/>
      </c>
      <c r="AA18" s="788"/>
      <c r="AB18" s="788">
        <f t="shared" si="2"/>
      </c>
    </row>
    <row r="19" spans="1:28" s="773" customFormat="1" ht="27.75" customHeight="1">
      <c r="A19" s="782">
        <v>1</v>
      </c>
      <c r="B19" s="783">
        <v>1</v>
      </c>
      <c r="C19" s="783">
        <v>1</v>
      </c>
      <c r="D19" s="971">
        <v>283</v>
      </c>
      <c r="E19" s="972">
        <v>107</v>
      </c>
      <c r="F19" s="973" t="s">
        <v>124</v>
      </c>
      <c r="G19" s="974" t="s">
        <v>340</v>
      </c>
      <c r="H19" s="751">
        <v>1564.16</v>
      </c>
      <c r="I19" s="751"/>
      <c r="J19" s="751"/>
      <c r="K19" s="740">
        <v>5962</v>
      </c>
      <c r="L19" s="740"/>
      <c r="M19" s="922">
        <v>3020</v>
      </c>
      <c r="N19" s="922"/>
      <c r="O19" s="922"/>
      <c r="P19" s="933">
        <v>2185</v>
      </c>
      <c r="Q19" s="934"/>
      <c r="R19" s="934"/>
      <c r="S19" s="933">
        <v>1816</v>
      </c>
      <c r="T19" s="799"/>
      <c r="U19" s="798"/>
      <c r="V19" s="781">
        <f t="shared" si="3"/>
        <v>4584.16</v>
      </c>
      <c r="W19" s="968"/>
      <c r="X19" s="969"/>
      <c r="Z19" s="788">
        <f>IF(V19&gt;(H19+M19+N19),"ERRORE","")</f>
      </c>
      <c r="AA19" s="788">
        <f>IF(W19&gt;(H19+P19+Q19),"ERRORE","")</f>
      </c>
      <c r="AB19" s="788">
        <f>IF(X19&gt;(H19+S19+T19),"ERRORE","")</f>
      </c>
    </row>
    <row r="20" spans="1:28" s="853" customFormat="1" ht="21" customHeight="1">
      <c r="A20" s="1339" t="s">
        <v>34</v>
      </c>
      <c r="B20" s="1340"/>
      <c r="C20" s="1340"/>
      <c r="D20" s="1340"/>
      <c r="E20" s="1340"/>
      <c r="F20" s="1340"/>
      <c r="G20" s="1341"/>
      <c r="H20" s="732">
        <f aca="true" t="shared" si="5" ref="H20:X20">SUM(H7:H19)</f>
        <v>8390.87</v>
      </c>
      <c r="I20" s="732">
        <f t="shared" si="5"/>
        <v>0</v>
      </c>
      <c r="J20" s="732">
        <f t="shared" si="5"/>
        <v>0</v>
      </c>
      <c r="K20" s="730">
        <f t="shared" si="5"/>
        <v>49412</v>
      </c>
      <c r="L20" s="730">
        <f t="shared" si="5"/>
        <v>0</v>
      </c>
      <c r="M20" s="730">
        <f t="shared" si="5"/>
        <v>56820</v>
      </c>
      <c r="N20" s="730">
        <f t="shared" si="5"/>
        <v>0</v>
      </c>
      <c r="O20" s="730">
        <f t="shared" si="5"/>
        <v>0</v>
      </c>
      <c r="P20" s="730">
        <f t="shared" si="5"/>
        <v>45835</v>
      </c>
      <c r="Q20" s="730">
        <f t="shared" si="5"/>
        <v>0</v>
      </c>
      <c r="R20" s="730">
        <f t="shared" si="5"/>
        <v>0</v>
      </c>
      <c r="S20" s="730">
        <f t="shared" si="5"/>
        <v>45466</v>
      </c>
      <c r="T20" s="975">
        <f t="shared" si="5"/>
        <v>0</v>
      </c>
      <c r="U20" s="975">
        <f t="shared" si="5"/>
        <v>0</v>
      </c>
      <c r="V20" s="833">
        <f t="shared" si="5"/>
        <v>65210.869999999995</v>
      </c>
      <c r="W20" s="976">
        <f t="shared" si="5"/>
        <v>0</v>
      </c>
      <c r="X20" s="977">
        <f t="shared" si="5"/>
        <v>0</v>
      </c>
      <c r="Y20" s="978"/>
      <c r="Z20" s="788">
        <f aca="true" t="shared" si="6" ref="Z20:Z97">IF(V20&gt;(H20+M20+N20),"ERRORE","")</f>
      </c>
      <c r="AA20" s="788">
        <f aca="true" t="shared" si="7" ref="AA20:AA97">IF(W20&gt;(H20+P20+Q20),"ERRORE","")</f>
      </c>
      <c r="AB20" s="788">
        <f aca="true" t="shared" si="8" ref="AB20:AB97">IF(X20&gt;(H20+S20+T20),"ERRORE","")</f>
      </c>
    </row>
    <row r="21" spans="1:28" s="773" customFormat="1" ht="27.75" customHeight="1">
      <c r="A21" s="960">
        <v>1</v>
      </c>
      <c r="B21" s="961">
        <v>2</v>
      </c>
      <c r="C21" s="961">
        <v>1</v>
      </c>
      <c r="D21" s="962">
        <v>40</v>
      </c>
      <c r="E21" s="961">
        <v>101</v>
      </c>
      <c r="F21" s="924" t="s">
        <v>97</v>
      </c>
      <c r="G21" s="959" t="s">
        <v>127</v>
      </c>
      <c r="H21" s="728">
        <v>15407.61</v>
      </c>
      <c r="I21" s="728"/>
      <c r="J21" s="728"/>
      <c r="K21" s="728">
        <v>50600</v>
      </c>
      <c r="L21" s="728"/>
      <c r="M21" s="728">
        <v>50500</v>
      </c>
      <c r="N21" s="774"/>
      <c r="O21" s="774"/>
      <c r="P21" s="774">
        <v>50500</v>
      </c>
      <c r="Q21" s="774"/>
      <c r="R21" s="774"/>
      <c r="S21" s="728">
        <v>50500</v>
      </c>
      <c r="T21" s="777"/>
      <c r="U21" s="774"/>
      <c r="V21" s="778">
        <f>H21+M21</f>
        <v>65907.61</v>
      </c>
      <c r="W21" s="963"/>
      <c r="X21" s="964"/>
      <c r="Z21" s="788">
        <f t="shared" si="6"/>
      </c>
      <c r="AA21" s="788">
        <f t="shared" si="7"/>
      </c>
      <c r="AB21" s="788">
        <f t="shared" si="8"/>
      </c>
    </row>
    <row r="22" spans="1:28" s="773" customFormat="1" ht="27.75" customHeight="1">
      <c r="A22" s="960">
        <v>1</v>
      </c>
      <c r="B22" s="961">
        <v>2</v>
      </c>
      <c r="C22" s="961">
        <v>1</v>
      </c>
      <c r="D22" s="962">
        <v>80</v>
      </c>
      <c r="E22" s="961">
        <v>101</v>
      </c>
      <c r="F22" s="924" t="s">
        <v>98</v>
      </c>
      <c r="G22" s="959" t="s">
        <v>131</v>
      </c>
      <c r="H22" s="728">
        <v>2948.98</v>
      </c>
      <c r="I22" s="728"/>
      <c r="J22" s="728"/>
      <c r="K22" s="728">
        <v>13900</v>
      </c>
      <c r="L22" s="728"/>
      <c r="M22" s="728">
        <v>13800</v>
      </c>
      <c r="N22" s="774"/>
      <c r="O22" s="774"/>
      <c r="P22" s="774">
        <v>13800</v>
      </c>
      <c r="Q22" s="774"/>
      <c r="R22" s="774"/>
      <c r="S22" s="728">
        <v>13800</v>
      </c>
      <c r="T22" s="777"/>
      <c r="U22" s="774"/>
      <c r="V22" s="778">
        <f>H22+M22</f>
        <v>16748.98</v>
      </c>
      <c r="W22" s="963"/>
      <c r="X22" s="964"/>
      <c r="Z22" s="788">
        <f>IF(V22&gt;(H22+M22+N22),"ERRORE","")</f>
      </c>
      <c r="AA22" s="788">
        <f>IF(W22&gt;(H22+P22+Q22),"ERRORE","")</f>
      </c>
      <c r="AB22" s="788">
        <f>IF(X22&gt;(H22+S22+T22),"ERRORE","")</f>
      </c>
    </row>
    <row r="23" spans="1:28" s="773" customFormat="1" ht="27.75" customHeight="1">
      <c r="A23" s="782">
        <v>1</v>
      </c>
      <c r="B23" s="783">
        <v>2</v>
      </c>
      <c r="C23" s="783">
        <v>1</v>
      </c>
      <c r="D23" s="971">
        <v>81</v>
      </c>
      <c r="E23" s="783">
        <v>104</v>
      </c>
      <c r="F23" s="784" t="s">
        <v>114</v>
      </c>
      <c r="G23" s="785" t="s">
        <v>735</v>
      </c>
      <c r="H23" s="729">
        <v>8751.58</v>
      </c>
      <c r="I23" s="729"/>
      <c r="J23" s="729"/>
      <c r="K23" s="729">
        <f>24000+2108.5</f>
        <v>26108.5</v>
      </c>
      <c r="L23" s="729"/>
      <c r="M23" s="729">
        <v>26110</v>
      </c>
      <c r="N23" s="775"/>
      <c r="O23" s="775"/>
      <c r="P23" s="775">
        <v>26110</v>
      </c>
      <c r="Q23" s="775"/>
      <c r="R23" s="775"/>
      <c r="S23" s="729">
        <v>26110</v>
      </c>
      <c r="T23" s="799"/>
      <c r="U23" s="798"/>
      <c r="V23" s="778">
        <f aca="true" t="shared" si="9" ref="V23:V29">H23+M23</f>
        <v>34861.58</v>
      </c>
      <c r="W23" s="968"/>
      <c r="X23" s="969"/>
      <c r="Z23" s="788">
        <f>IF(V23&gt;(H23+M23+N23),"ERRORE","")</f>
      </c>
      <c r="AA23" s="788">
        <f>IF(W23&gt;(H23+P23+Q23),"ERRORE","")</f>
      </c>
      <c r="AB23" s="788">
        <f>IF(X23&gt;(H23+S23+T23),"ERRORE","")</f>
      </c>
    </row>
    <row r="24" spans="1:28" s="773" customFormat="1" ht="27.75" customHeight="1">
      <c r="A24" s="960">
        <v>1</v>
      </c>
      <c r="B24" s="961">
        <v>2</v>
      </c>
      <c r="C24" s="961">
        <v>1</v>
      </c>
      <c r="D24" s="962">
        <v>82</v>
      </c>
      <c r="E24" s="961">
        <v>103</v>
      </c>
      <c r="F24" s="924" t="s">
        <v>102</v>
      </c>
      <c r="G24" s="959" t="s">
        <v>426</v>
      </c>
      <c r="H24" s="728">
        <v>1900</v>
      </c>
      <c r="I24" s="728"/>
      <c r="J24" s="728"/>
      <c r="K24" s="728">
        <v>1900</v>
      </c>
      <c r="L24" s="728"/>
      <c r="M24" s="728">
        <v>1900</v>
      </c>
      <c r="N24" s="774"/>
      <c r="O24" s="774"/>
      <c r="P24" s="774">
        <v>1900</v>
      </c>
      <c r="Q24" s="774"/>
      <c r="R24" s="774"/>
      <c r="S24" s="728">
        <v>1900</v>
      </c>
      <c r="T24" s="777"/>
      <c r="U24" s="774"/>
      <c r="V24" s="778">
        <f t="shared" si="9"/>
        <v>3800</v>
      </c>
      <c r="W24" s="963"/>
      <c r="X24" s="964"/>
      <c r="Z24" s="788">
        <f>IF(V24&gt;(H24+M24+N24),"ERRORE","")</f>
      </c>
      <c r="AA24" s="788">
        <f>IF(W24&gt;(H24+P24+Q24),"ERRORE","")</f>
      </c>
      <c r="AB24" s="788">
        <f>IF(X24&gt;(H24+S24+T24),"ERRORE","")</f>
      </c>
    </row>
    <row r="25" spans="1:28" s="773" customFormat="1" ht="27.75" customHeight="1">
      <c r="A25" s="960">
        <v>1</v>
      </c>
      <c r="B25" s="961">
        <v>2</v>
      </c>
      <c r="C25" s="961">
        <v>1</v>
      </c>
      <c r="D25" s="962">
        <v>83</v>
      </c>
      <c r="E25" s="961">
        <v>104</v>
      </c>
      <c r="F25" s="924" t="s">
        <v>106</v>
      </c>
      <c r="G25" s="966" t="s">
        <v>647</v>
      </c>
      <c r="H25" s="728">
        <v>13210.4</v>
      </c>
      <c r="I25" s="728"/>
      <c r="J25" s="728"/>
      <c r="K25" s="728">
        <f>18000+2125</f>
        <v>20125</v>
      </c>
      <c r="L25" s="728"/>
      <c r="M25" s="728">
        <v>20125</v>
      </c>
      <c r="N25" s="774"/>
      <c r="O25" s="774"/>
      <c r="P25" s="774">
        <v>20125</v>
      </c>
      <c r="Q25" s="774"/>
      <c r="R25" s="774"/>
      <c r="S25" s="728">
        <v>20125</v>
      </c>
      <c r="T25" s="777"/>
      <c r="U25" s="774"/>
      <c r="V25" s="778">
        <f t="shared" si="9"/>
        <v>33335.4</v>
      </c>
      <c r="W25" s="963"/>
      <c r="X25" s="964"/>
      <c r="Z25" s="788">
        <f>IF(V25&gt;(H25+M25+N25),"ERRORE","")</f>
      </c>
      <c r="AA25" s="788">
        <f>IF(W25&gt;(H25+P25+Q25),"ERRORE","")</f>
      </c>
      <c r="AB25" s="788">
        <f>IF(X25&gt;(H25+S25+T25),"ERRORE","")</f>
      </c>
    </row>
    <row r="26" spans="1:28" s="773" customFormat="1" ht="27.75" customHeight="1">
      <c r="A26" s="782">
        <v>1</v>
      </c>
      <c r="B26" s="783">
        <v>2</v>
      </c>
      <c r="C26" s="783">
        <v>1</v>
      </c>
      <c r="D26" s="971">
        <v>205</v>
      </c>
      <c r="E26" s="783">
        <v>104</v>
      </c>
      <c r="F26" s="784" t="s">
        <v>106</v>
      </c>
      <c r="G26" s="980" t="s">
        <v>259</v>
      </c>
      <c r="H26" s="729">
        <v>177.86</v>
      </c>
      <c r="I26" s="729"/>
      <c r="J26" s="729"/>
      <c r="K26" s="729">
        <v>300</v>
      </c>
      <c r="L26" s="729"/>
      <c r="M26" s="729">
        <v>300</v>
      </c>
      <c r="N26" s="775"/>
      <c r="O26" s="775"/>
      <c r="P26" s="775">
        <v>300</v>
      </c>
      <c r="Q26" s="775"/>
      <c r="R26" s="775"/>
      <c r="S26" s="729">
        <v>300</v>
      </c>
      <c r="T26" s="799"/>
      <c r="U26" s="775"/>
      <c r="V26" s="778">
        <f t="shared" si="9"/>
        <v>477.86</v>
      </c>
      <c r="W26" s="968"/>
      <c r="X26" s="969"/>
      <c r="Z26" s="788">
        <f>IF(V26&gt;(H26+M26+N26),"ERRORE","")</f>
      </c>
      <c r="AA26" s="788">
        <f>IF(W26&gt;(H26+P26+Q26),"ERRORE","")</f>
      </c>
      <c r="AB26" s="788">
        <f>IF(X26&gt;(H26+S26+T26),"ERRORE","")</f>
      </c>
    </row>
    <row r="27" spans="1:28" s="773" customFormat="1" ht="27.75" customHeight="1">
      <c r="A27" s="960">
        <v>1</v>
      </c>
      <c r="B27" s="961">
        <v>2</v>
      </c>
      <c r="C27" s="961">
        <v>1</v>
      </c>
      <c r="D27" s="962">
        <v>210</v>
      </c>
      <c r="E27" s="961">
        <v>101</v>
      </c>
      <c r="F27" s="924" t="s">
        <v>97</v>
      </c>
      <c r="G27" s="959" t="s">
        <v>222</v>
      </c>
      <c r="H27" s="728">
        <v>0</v>
      </c>
      <c r="I27" s="728"/>
      <c r="J27" s="728"/>
      <c r="K27" s="728">
        <v>3000</v>
      </c>
      <c r="L27" s="728"/>
      <c r="M27" s="728">
        <v>3000</v>
      </c>
      <c r="N27" s="774"/>
      <c r="O27" s="774"/>
      <c r="P27" s="774">
        <v>3000</v>
      </c>
      <c r="Q27" s="774"/>
      <c r="R27" s="774"/>
      <c r="S27" s="728">
        <v>3000</v>
      </c>
      <c r="T27" s="777"/>
      <c r="U27" s="774"/>
      <c r="V27" s="778">
        <f t="shared" si="9"/>
        <v>3000</v>
      </c>
      <c r="W27" s="963"/>
      <c r="X27" s="964"/>
      <c r="Z27" s="788">
        <f t="shared" si="6"/>
      </c>
      <c r="AA27" s="788">
        <f t="shared" si="7"/>
      </c>
      <c r="AB27" s="788">
        <f t="shared" si="8"/>
      </c>
    </row>
    <row r="28" spans="1:28" s="773" customFormat="1" ht="27.75" customHeight="1">
      <c r="A28" s="960">
        <v>1</v>
      </c>
      <c r="B28" s="961">
        <v>2</v>
      </c>
      <c r="C28" s="961">
        <v>1</v>
      </c>
      <c r="D28" s="962">
        <v>215</v>
      </c>
      <c r="E28" s="961">
        <v>101</v>
      </c>
      <c r="F28" s="924" t="s">
        <v>983</v>
      </c>
      <c r="G28" s="966" t="s">
        <v>746</v>
      </c>
      <c r="H28" s="728">
        <v>3515.16</v>
      </c>
      <c r="I28" s="728"/>
      <c r="J28" s="728"/>
      <c r="K28" s="728">
        <v>0</v>
      </c>
      <c r="L28" s="728"/>
      <c r="M28" s="728">
        <v>0</v>
      </c>
      <c r="N28" s="774"/>
      <c r="O28" s="774"/>
      <c r="P28" s="774">
        <v>0</v>
      </c>
      <c r="Q28" s="774"/>
      <c r="R28" s="774"/>
      <c r="S28" s="728">
        <v>0</v>
      </c>
      <c r="T28" s="777"/>
      <c r="U28" s="774"/>
      <c r="V28" s="778">
        <f t="shared" si="9"/>
        <v>3515.16</v>
      </c>
      <c r="W28" s="963"/>
      <c r="X28" s="964"/>
      <c r="Z28" s="788">
        <f t="shared" si="6"/>
      </c>
      <c r="AA28" s="788">
        <f t="shared" si="7"/>
      </c>
      <c r="AB28" s="788">
        <f t="shared" si="8"/>
      </c>
    </row>
    <row r="29" spans="1:28" s="773" customFormat="1" ht="27.75" customHeight="1">
      <c r="A29" s="960">
        <v>1</v>
      </c>
      <c r="B29" s="961">
        <v>2</v>
      </c>
      <c r="C29" s="961">
        <v>1</v>
      </c>
      <c r="D29" s="962">
        <v>251</v>
      </c>
      <c r="E29" s="961">
        <v>102</v>
      </c>
      <c r="F29" s="924" t="s">
        <v>105</v>
      </c>
      <c r="G29" s="966" t="s">
        <v>891</v>
      </c>
      <c r="H29" s="728">
        <v>2410.77</v>
      </c>
      <c r="I29" s="728"/>
      <c r="J29" s="728"/>
      <c r="K29" s="728">
        <v>4400</v>
      </c>
      <c r="L29" s="728"/>
      <c r="M29" s="728">
        <v>4400</v>
      </c>
      <c r="N29" s="774"/>
      <c r="O29" s="774"/>
      <c r="P29" s="728">
        <v>4400</v>
      </c>
      <c r="Q29" s="774"/>
      <c r="R29" s="774"/>
      <c r="S29" s="728">
        <v>4400</v>
      </c>
      <c r="T29" s="777"/>
      <c r="U29" s="774"/>
      <c r="V29" s="778">
        <f t="shared" si="9"/>
        <v>6810.77</v>
      </c>
      <c r="W29" s="963"/>
      <c r="X29" s="964"/>
      <c r="Z29" s="788">
        <f t="shared" si="6"/>
      </c>
      <c r="AA29" s="788">
        <f t="shared" si="7"/>
      </c>
      <c r="AB29" s="788">
        <f t="shared" si="8"/>
      </c>
    </row>
    <row r="30" spans="1:28" s="853" customFormat="1" ht="21" customHeight="1">
      <c r="A30" s="1339" t="s">
        <v>35</v>
      </c>
      <c r="B30" s="1340"/>
      <c r="C30" s="1340"/>
      <c r="D30" s="1340"/>
      <c r="E30" s="1340"/>
      <c r="F30" s="1340"/>
      <c r="G30" s="1341"/>
      <c r="H30" s="732">
        <f aca="true" t="shared" si="10" ref="H30:X30">SUM(H21:H29)</f>
        <v>48322.35999999999</v>
      </c>
      <c r="I30" s="732">
        <f t="shared" si="10"/>
        <v>0</v>
      </c>
      <c r="J30" s="732">
        <f t="shared" si="10"/>
        <v>0</v>
      </c>
      <c r="K30" s="730">
        <f t="shared" si="10"/>
        <v>120333.5</v>
      </c>
      <c r="L30" s="730">
        <f t="shared" si="10"/>
        <v>0</v>
      </c>
      <c r="M30" s="730">
        <f t="shared" si="10"/>
        <v>120135</v>
      </c>
      <c r="N30" s="730">
        <f t="shared" si="10"/>
        <v>0</v>
      </c>
      <c r="O30" s="730">
        <f t="shared" si="10"/>
        <v>0</v>
      </c>
      <c r="P30" s="730">
        <f t="shared" si="10"/>
        <v>120135</v>
      </c>
      <c r="Q30" s="730">
        <f t="shared" si="10"/>
        <v>0</v>
      </c>
      <c r="R30" s="730">
        <f t="shared" si="10"/>
        <v>0</v>
      </c>
      <c r="S30" s="730">
        <f t="shared" si="10"/>
        <v>120135</v>
      </c>
      <c r="T30" s="975">
        <f t="shared" si="10"/>
        <v>0</v>
      </c>
      <c r="U30" s="975">
        <f t="shared" si="10"/>
        <v>0</v>
      </c>
      <c r="V30" s="833">
        <f t="shared" si="10"/>
        <v>168457.36</v>
      </c>
      <c r="W30" s="976">
        <f t="shared" si="10"/>
        <v>0</v>
      </c>
      <c r="X30" s="977">
        <f t="shared" si="10"/>
        <v>0</v>
      </c>
      <c r="Z30" s="788">
        <f t="shared" si="6"/>
      </c>
      <c r="AA30" s="788">
        <f t="shared" si="7"/>
      </c>
      <c r="AB30" s="788">
        <f t="shared" si="8"/>
      </c>
    </row>
    <row r="31" spans="1:28" s="773" customFormat="1" ht="27.75" customHeight="1">
      <c r="A31" s="960">
        <v>1</v>
      </c>
      <c r="B31" s="961">
        <v>3</v>
      </c>
      <c r="C31" s="961">
        <v>1</v>
      </c>
      <c r="D31" s="828">
        <v>11</v>
      </c>
      <c r="E31" s="961">
        <v>103</v>
      </c>
      <c r="F31" s="924" t="s">
        <v>101</v>
      </c>
      <c r="G31" s="966" t="s">
        <v>479</v>
      </c>
      <c r="H31" s="727">
        <v>7828.6</v>
      </c>
      <c r="I31" s="727"/>
      <c r="J31" s="727"/>
      <c r="K31" s="727">
        <v>7800</v>
      </c>
      <c r="L31" s="727"/>
      <c r="M31" s="728">
        <v>7800</v>
      </c>
      <c r="N31" s="774"/>
      <c r="O31" s="774"/>
      <c r="P31" s="774">
        <v>7800</v>
      </c>
      <c r="Q31" s="774"/>
      <c r="R31" s="774"/>
      <c r="S31" s="741">
        <v>7800</v>
      </c>
      <c r="T31" s="777"/>
      <c r="U31" s="774"/>
      <c r="V31" s="778">
        <f aca="true" t="shared" si="11" ref="V31:V36">H31+M31</f>
        <v>15628.6</v>
      </c>
      <c r="W31" s="963"/>
      <c r="X31" s="964"/>
      <c r="Z31" s="788">
        <f>IF(V31&gt;(H31+M31+N31),"ERRORE","")</f>
      </c>
      <c r="AA31" s="788">
        <f>IF(W31&gt;(H31+P31+Q31),"ERRORE","")</f>
      </c>
      <c r="AB31" s="788">
        <f>IF(X31&gt;(H31+S31+T31),"ERRORE","")</f>
      </c>
    </row>
    <row r="32" spans="1:28" s="773" customFormat="1" ht="27.75" customHeight="1">
      <c r="A32" s="953">
        <v>1</v>
      </c>
      <c r="B32" s="954">
        <v>3</v>
      </c>
      <c r="C32" s="954">
        <v>1</v>
      </c>
      <c r="D32" s="981">
        <v>235</v>
      </c>
      <c r="E32" s="954">
        <v>101</v>
      </c>
      <c r="F32" s="923" t="s">
        <v>97</v>
      </c>
      <c r="G32" s="956" t="s">
        <v>221</v>
      </c>
      <c r="H32" s="731">
        <v>16462.55</v>
      </c>
      <c r="I32" s="731"/>
      <c r="J32" s="731"/>
      <c r="K32" s="726">
        <f>67300+11300</f>
        <v>78600</v>
      </c>
      <c r="L32" s="726"/>
      <c r="M32" s="731">
        <v>79150</v>
      </c>
      <c r="N32" s="921"/>
      <c r="O32" s="921"/>
      <c r="P32" s="921">
        <v>79150</v>
      </c>
      <c r="Q32" s="779"/>
      <c r="R32" s="779"/>
      <c r="S32" s="726">
        <v>79150</v>
      </c>
      <c r="T32" s="780"/>
      <c r="U32" s="779"/>
      <c r="V32" s="781">
        <f t="shared" si="11"/>
        <v>95612.55</v>
      </c>
      <c r="W32" s="957"/>
      <c r="X32" s="958"/>
      <c r="Z32" s="788">
        <f>IF(V32&gt;(H32+M32+N32),"ERRORE","")</f>
      </c>
      <c r="AA32" s="788">
        <f>IF(W32&gt;(H32+P32+Q32),"ERRORE","")</f>
      </c>
      <c r="AB32" s="788">
        <f>IF(X32&gt;(H32+S32+T32),"ERRORE","")</f>
      </c>
    </row>
    <row r="33" spans="1:28" s="773" customFormat="1" ht="27.75" customHeight="1">
      <c r="A33" s="960">
        <v>1</v>
      </c>
      <c r="B33" s="961">
        <v>3</v>
      </c>
      <c r="C33" s="961">
        <v>1</v>
      </c>
      <c r="D33" s="962">
        <v>236</v>
      </c>
      <c r="E33" s="961">
        <v>101</v>
      </c>
      <c r="F33" s="924" t="s">
        <v>98</v>
      </c>
      <c r="G33" s="959" t="s">
        <v>250</v>
      </c>
      <c r="H33" s="728">
        <v>1272.65</v>
      </c>
      <c r="I33" s="728"/>
      <c r="J33" s="728"/>
      <c r="K33" s="728">
        <f>18000+800</f>
        <v>18800</v>
      </c>
      <c r="L33" s="728"/>
      <c r="M33" s="728">
        <v>21200</v>
      </c>
      <c r="N33" s="774"/>
      <c r="O33" s="774"/>
      <c r="P33" s="774">
        <v>21200</v>
      </c>
      <c r="Q33" s="774"/>
      <c r="R33" s="774"/>
      <c r="S33" s="728">
        <v>21200</v>
      </c>
      <c r="T33" s="777"/>
      <c r="U33" s="774"/>
      <c r="V33" s="781">
        <f t="shared" si="11"/>
        <v>22472.65</v>
      </c>
      <c r="W33" s="963"/>
      <c r="X33" s="964"/>
      <c r="Z33" s="788">
        <f t="shared" si="6"/>
      </c>
      <c r="AA33" s="788">
        <f t="shared" si="7"/>
      </c>
      <c r="AB33" s="788">
        <f t="shared" si="8"/>
      </c>
    </row>
    <row r="34" spans="1:28" s="773" customFormat="1" ht="27.75" customHeight="1">
      <c r="A34" s="960">
        <v>1</v>
      </c>
      <c r="B34" s="961">
        <v>3</v>
      </c>
      <c r="C34" s="961">
        <v>1</v>
      </c>
      <c r="D34" s="962">
        <v>237</v>
      </c>
      <c r="E34" s="961">
        <v>102</v>
      </c>
      <c r="F34" s="924" t="s">
        <v>105</v>
      </c>
      <c r="G34" s="959" t="s">
        <v>237</v>
      </c>
      <c r="H34" s="728">
        <v>1000.32</v>
      </c>
      <c r="I34" s="728"/>
      <c r="J34" s="728"/>
      <c r="K34" s="728">
        <f>5900+1000</f>
        <v>6900</v>
      </c>
      <c r="L34" s="728"/>
      <c r="M34" s="728">
        <v>7000</v>
      </c>
      <c r="N34" s="774"/>
      <c r="O34" s="774"/>
      <c r="P34" s="774">
        <v>7000</v>
      </c>
      <c r="Q34" s="774"/>
      <c r="R34" s="774"/>
      <c r="S34" s="728">
        <v>7000</v>
      </c>
      <c r="T34" s="777"/>
      <c r="U34" s="774"/>
      <c r="V34" s="781">
        <f t="shared" si="11"/>
        <v>8000.32</v>
      </c>
      <c r="W34" s="963"/>
      <c r="X34" s="964"/>
      <c r="Z34" s="788">
        <f t="shared" si="6"/>
      </c>
      <c r="AA34" s="788">
        <f t="shared" si="7"/>
      </c>
      <c r="AB34" s="788">
        <f t="shared" si="8"/>
      </c>
    </row>
    <row r="35" spans="1:28" s="773" customFormat="1" ht="27.75" customHeight="1">
      <c r="A35" s="782">
        <v>1</v>
      </c>
      <c r="B35" s="783">
        <v>3</v>
      </c>
      <c r="C35" s="783">
        <v>1</v>
      </c>
      <c r="D35" s="971">
        <v>239</v>
      </c>
      <c r="E35" s="783">
        <v>103</v>
      </c>
      <c r="F35" s="784" t="s">
        <v>113</v>
      </c>
      <c r="G35" s="785" t="s">
        <v>515</v>
      </c>
      <c r="H35" s="729">
        <v>0</v>
      </c>
      <c r="I35" s="729"/>
      <c r="J35" s="729"/>
      <c r="K35" s="729">
        <v>100</v>
      </c>
      <c r="L35" s="729"/>
      <c r="M35" s="729">
        <v>6000</v>
      </c>
      <c r="N35" s="775"/>
      <c r="O35" s="775"/>
      <c r="P35" s="775">
        <v>6000</v>
      </c>
      <c r="Q35" s="775"/>
      <c r="R35" s="775"/>
      <c r="S35" s="729">
        <v>6000</v>
      </c>
      <c r="T35" s="799"/>
      <c r="U35" s="775"/>
      <c r="V35" s="781">
        <f t="shared" si="11"/>
        <v>6000</v>
      </c>
      <c r="W35" s="963"/>
      <c r="X35" s="964"/>
      <c r="Z35" s="788">
        <f t="shared" si="6"/>
      </c>
      <c r="AA35" s="788">
        <f t="shared" si="7"/>
      </c>
      <c r="AB35" s="788">
        <f t="shared" si="8"/>
      </c>
    </row>
    <row r="36" spans="1:28" s="773" customFormat="1" ht="27.75" customHeight="1">
      <c r="A36" s="782">
        <v>1</v>
      </c>
      <c r="B36" s="783">
        <v>3</v>
      </c>
      <c r="C36" s="783">
        <v>1</v>
      </c>
      <c r="D36" s="971">
        <v>285</v>
      </c>
      <c r="E36" s="783">
        <v>107</v>
      </c>
      <c r="F36" s="784" t="s">
        <v>117</v>
      </c>
      <c r="G36" s="982" t="s">
        <v>239</v>
      </c>
      <c r="H36" s="729">
        <v>0</v>
      </c>
      <c r="I36" s="729"/>
      <c r="J36" s="729"/>
      <c r="K36" s="729">
        <v>1000</v>
      </c>
      <c r="L36" s="729"/>
      <c r="M36" s="729">
        <v>1000</v>
      </c>
      <c r="N36" s="775"/>
      <c r="O36" s="775"/>
      <c r="P36" s="775">
        <v>1000</v>
      </c>
      <c r="Q36" s="798"/>
      <c r="R36" s="798"/>
      <c r="S36" s="1090">
        <v>1000</v>
      </c>
      <c r="T36" s="799"/>
      <c r="U36" s="798"/>
      <c r="V36" s="781">
        <f t="shared" si="11"/>
        <v>1000</v>
      </c>
      <c r="W36" s="968"/>
      <c r="X36" s="969"/>
      <c r="Z36" s="788">
        <f t="shared" si="6"/>
      </c>
      <c r="AA36" s="788">
        <f t="shared" si="7"/>
      </c>
      <c r="AB36" s="788">
        <f t="shared" si="8"/>
      </c>
    </row>
    <row r="37" spans="1:28" s="853" customFormat="1" ht="30.75" customHeight="1">
      <c r="A37" s="1339" t="s">
        <v>36</v>
      </c>
      <c r="B37" s="1340"/>
      <c r="C37" s="1340"/>
      <c r="D37" s="1340"/>
      <c r="E37" s="1340"/>
      <c r="F37" s="1340"/>
      <c r="G37" s="1341"/>
      <c r="H37" s="732">
        <f aca="true" t="shared" si="12" ref="H37:X37">SUM(H31:H36)</f>
        <v>26564.120000000003</v>
      </c>
      <c r="I37" s="732">
        <f t="shared" si="12"/>
        <v>0</v>
      </c>
      <c r="J37" s="732">
        <f t="shared" si="12"/>
        <v>0</v>
      </c>
      <c r="K37" s="730">
        <f t="shared" si="12"/>
        <v>113200</v>
      </c>
      <c r="L37" s="730">
        <f t="shared" si="12"/>
        <v>0</v>
      </c>
      <c r="M37" s="730">
        <f t="shared" si="12"/>
        <v>122150</v>
      </c>
      <c r="N37" s="730">
        <f t="shared" si="12"/>
        <v>0</v>
      </c>
      <c r="O37" s="730">
        <f t="shared" si="12"/>
        <v>0</v>
      </c>
      <c r="P37" s="730">
        <f t="shared" si="12"/>
        <v>122150</v>
      </c>
      <c r="Q37" s="730">
        <f t="shared" si="12"/>
        <v>0</v>
      </c>
      <c r="R37" s="730">
        <f t="shared" si="12"/>
        <v>0</v>
      </c>
      <c r="S37" s="730">
        <f t="shared" si="12"/>
        <v>122150</v>
      </c>
      <c r="T37" s="975">
        <f t="shared" si="12"/>
        <v>0</v>
      </c>
      <c r="U37" s="975">
        <f t="shared" si="12"/>
        <v>0</v>
      </c>
      <c r="V37" s="833">
        <f t="shared" si="12"/>
        <v>148714.12000000002</v>
      </c>
      <c r="W37" s="976">
        <f t="shared" si="12"/>
        <v>0</v>
      </c>
      <c r="X37" s="977">
        <f t="shared" si="12"/>
        <v>0</v>
      </c>
      <c r="Z37" s="788">
        <f t="shared" si="6"/>
      </c>
      <c r="AA37" s="788">
        <f t="shared" si="7"/>
      </c>
      <c r="AB37" s="788">
        <f t="shared" si="8"/>
      </c>
    </row>
    <row r="38" spans="1:28" s="773" customFormat="1" ht="27.75" customHeight="1">
      <c r="A38" s="960">
        <v>1</v>
      </c>
      <c r="B38" s="961">
        <v>4</v>
      </c>
      <c r="C38" s="961">
        <v>1</v>
      </c>
      <c r="D38" s="962">
        <v>240</v>
      </c>
      <c r="E38" s="961">
        <v>103</v>
      </c>
      <c r="F38" s="924" t="s">
        <v>111</v>
      </c>
      <c r="G38" s="959" t="s">
        <v>236</v>
      </c>
      <c r="H38" s="728">
        <v>762.88</v>
      </c>
      <c r="I38" s="728"/>
      <c r="J38" s="728"/>
      <c r="K38" s="728">
        <v>15400</v>
      </c>
      <c r="L38" s="728"/>
      <c r="M38" s="728">
        <v>10000</v>
      </c>
      <c r="N38" s="774"/>
      <c r="O38" s="774"/>
      <c r="P38" s="774">
        <v>10000</v>
      </c>
      <c r="Q38" s="774"/>
      <c r="R38" s="774"/>
      <c r="S38" s="728">
        <v>10000</v>
      </c>
      <c r="T38" s="777"/>
      <c r="U38" s="779"/>
      <c r="V38" s="778">
        <f>H38+M38</f>
        <v>10762.88</v>
      </c>
      <c r="W38" s="963"/>
      <c r="X38" s="964"/>
      <c r="Z38" s="788">
        <f t="shared" si="6"/>
      </c>
      <c r="AA38" s="788">
        <f t="shared" si="7"/>
      </c>
      <c r="AB38" s="788">
        <f t="shared" si="8"/>
      </c>
    </row>
    <row r="39" spans="1:28" s="773" customFormat="1" ht="27.75" customHeight="1">
      <c r="A39" s="782">
        <v>1</v>
      </c>
      <c r="B39" s="783">
        <v>4</v>
      </c>
      <c r="C39" s="783">
        <v>1</v>
      </c>
      <c r="D39" s="784">
        <v>245</v>
      </c>
      <c r="E39" s="967">
        <v>110</v>
      </c>
      <c r="F39" s="784" t="s">
        <v>116</v>
      </c>
      <c r="G39" s="980" t="s">
        <v>465</v>
      </c>
      <c r="H39" s="729">
        <v>0</v>
      </c>
      <c r="I39" s="729"/>
      <c r="J39" s="729"/>
      <c r="K39" s="729">
        <v>7000</v>
      </c>
      <c r="L39" s="729"/>
      <c r="M39" s="729">
        <v>2000</v>
      </c>
      <c r="N39" s="775"/>
      <c r="O39" s="775"/>
      <c r="P39" s="775">
        <v>2000</v>
      </c>
      <c r="Q39" s="775"/>
      <c r="R39" s="775"/>
      <c r="S39" s="729">
        <v>2000</v>
      </c>
      <c r="T39" s="799"/>
      <c r="U39" s="798"/>
      <c r="V39" s="791">
        <f>H39+M39</f>
        <v>2000</v>
      </c>
      <c r="W39" s="968"/>
      <c r="X39" s="969"/>
      <c r="Z39" s="788">
        <f>IF(V39&gt;(H39+M39+N39),"ERRORE","")</f>
      </c>
      <c r="AA39" s="788">
        <f>IF(W39&gt;(H39+P39+Q39),"ERRORE","")</f>
      </c>
      <c r="AB39" s="788">
        <f>IF(X39&gt;(H39+S39+T39),"ERRORE","")</f>
      </c>
    </row>
    <row r="40" spans="1:28" s="773" customFormat="1" ht="27.75" customHeight="1">
      <c r="A40" s="960">
        <v>1</v>
      </c>
      <c r="B40" s="961">
        <v>4</v>
      </c>
      <c r="C40" s="961">
        <v>1</v>
      </c>
      <c r="D40" s="962">
        <v>260</v>
      </c>
      <c r="E40" s="961">
        <v>109</v>
      </c>
      <c r="F40" s="924" t="s">
        <v>115</v>
      </c>
      <c r="G40" s="959" t="s">
        <v>238</v>
      </c>
      <c r="H40" s="728">
        <v>1529.92</v>
      </c>
      <c r="I40" s="728"/>
      <c r="J40" s="728"/>
      <c r="K40" s="728">
        <v>4000</v>
      </c>
      <c r="L40" s="728"/>
      <c r="M40" s="728">
        <v>33000</v>
      </c>
      <c r="N40" s="774"/>
      <c r="O40" s="774"/>
      <c r="P40" s="774">
        <v>4000</v>
      </c>
      <c r="Q40" s="774"/>
      <c r="R40" s="774"/>
      <c r="S40" s="728">
        <v>4000</v>
      </c>
      <c r="T40" s="777"/>
      <c r="U40" s="774"/>
      <c r="V40" s="791">
        <f>H40+M40</f>
        <v>34529.92</v>
      </c>
      <c r="W40" s="963"/>
      <c r="X40" s="964"/>
      <c r="Z40" s="788">
        <f t="shared" si="6"/>
      </c>
      <c r="AA40" s="788">
        <f t="shared" si="7"/>
      </c>
      <c r="AB40" s="788">
        <f t="shared" si="8"/>
      </c>
    </row>
    <row r="41" spans="1:28" s="773" customFormat="1" ht="32.25" customHeight="1">
      <c r="A41" s="1339" t="s">
        <v>37</v>
      </c>
      <c r="B41" s="1340"/>
      <c r="C41" s="1340"/>
      <c r="D41" s="1340"/>
      <c r="E41" s="1340"/>
      <c r="F41" s="1340"/>
      <c r="G41" s="1341"/>
      <c r="H41" s="732">
        <f aca="true" t="shared" si="13" ref="H41:X41">SUM(H38:H40)</f>
        <v>2292.8</v>
      </c>
      <c r="I41" s="732">
        <f t="shared" si="13"/>
        <v>0</v>
      </c>
      <c r="J41" s="732">
        <f t="shared" si="13"/>
        <v>0</v>
      </c>
      <c r="K41" s="732">
        <f t="shared" si="13"/>
        <v>26400</v>
      </c>
      <c r="L41" s="732">
        <f t="shared" si="13"/>
        <v>0</v>
      </c>
      <c r="M41" s="732">
        <f t="shared" si="13"/>
        <v>45000</v>
      </c>
      <c r="N41" s="732">
        <f t="shared" si="13"/>
        <v>0</v>
      </c>
      <c r="O41" s="732">
        <f t="shared" si="13"/>
        <v>0</v>
      </c>
      <c r="P41" s="732">
        <f t="shared" si="13"/>
        <v>16000</v>
      </c>
      <c r="Q41" s="767">
        <f t="shared" si="13"/>
        <v>0</v>
      </c>
      <c r="R41" s="767">
        <f t="shared" si="13"/>
        <v>0</v>
      </c>
      <c r="S41" s="767">
        <f t="shared" si="13"/>
        <v>16000</v>
      </c>
      <c r="T41" s="767">
        <f t="shared" si="13"/>
        <v>0</v>
      </c>
      <c r="U41" s="767">
        <f t="shared" si="13"/>
        <v>0</v>
      </c>
      <c r="V41" s="768">
        <f t="shared" si="13"/>
        <v>47292.799999999996</v>
      </c>
      <c r="W41" s="983">
        <f t="shared" si="13"/>
        <v>0</v>
      </c>
      <c r="X41" s="984">
        <f t="shared" si="13"/>
        <v>0</v>
      </c>
      <c r="Z41" s="788">
        <f t="shared" si="6"/>
      </c>
      <c r="AA41" s="788">
        <f t="shared" si="7"/>
      </c>
      <c r="AB41" s="788">
        <f t="shared" si="8"/>
      </c>
    </row>
    <row r="42" spans="1:28" s="773" customFormat="1" ht="27.75" customHeight="1">
      <c r="A42" s="960">
        <v>1</v>
      </c>
      <c r="B42" s="961">
        <v>5</v>
      </c>
      <c r="C42" s="961">
        <v>1</v>
      </c>
      <c r="D42" s="962">
        <v>150</v>
      </c>
      <c r="E42" s="961">
        <v>103</v>
      </c>
      <c r="F42" s="924" t="s">
        <v>109</v>
      </c>
      <c r="G42" s="959" t="s">
        <v>183</v>
      </c>
      <c r="H42" s="728">
        <v>22018.94</v>
      </c>
      <c r="I42" s="728"/>
      <c r="J42" s="728"/>
      <c r="K42" s="728">
        <f>43000+16000</f>
        <v>59000</v>
      </c>
      <c r="L42" s="728"/>
      <c r="M42" s="728">
        <v>50000</v>
      </c>
      <c r="N42" s="774"/>
      <c r="O42" s="774"/>
      <c r="P42" s="774">
        <v>50000</v>
      </c>
      <c r="Q42" s="774"/>
      <c r="R42" s="774"/>
      <c r="S42" s="728">
        <v>50000</v>
      </c>
      <c r="T42" s="777"/>
      <c r="U42" s="774"/>
      <c r="V42" s="778">
        <f aca="true" t="shared" si="14" ref="V42:V47">H42+M42</f>
        <v>72018.94</v>
      </c>
      <c r="W42" s="963"/>
      <c r="X42" s="964"/>
      <c r="Z42" s="788">
        <f t="shared" si="6"/>
      </c>
      <c r="AA42" s="788">
        <f t="shared" si="7"/>
      </c>
      <c r="AB42" s="788">
        <f t="shared" si="8"/>
      </c>
    </row>
    <row r="43" spans="1:28" s="773" customFormat="1" ht="27.75" customHeight="1">
      <c r="A43" s="960">
        <v>1</v>
      </c>
      <c r="B43" s="961">
        <v>5</v>
      </c>
      <c r="C43" s="961">
        <v>1</v>
      </c>
      <c r="D43" s="829" t="s">
        <v>480</v>
      </c>
      <c r="E43" s="965">
        <v>103</v>
      </c>
      <c r="F43" s="924" t="s">
        <v>107</v>
      </c>
      <c r="G43" s="959" t="s">
        <v>481</v>
      </c>
      <c r="H43" s="728">
        <v>4163.68</v>
      </c>
      <c r="I43" s="728"/>
      <c r="J43" s="728"/>
      <c r="K43" s="728">
        <f>14500+4500</f>
        <v>19000</v>
      </c>
      <c r="L43" s="728"/>
      <c r="M43" s="728">
        <v>14500</v>
      </c>
      <c r="N43" s="774"/>
      <c r="O43" s="774"/>
      <c r="P43" s="774">
        <v>14500</v>
      </c>
      <c r="Q43" s="774"/>
      <c r="R43" s="774"/>
      <c r="S43" s="728">
        <v>14500</v>
      </c>
      <c r="T43" s="777"/>
      <c r="U43" s="774"/>
      <c r="V43" s="778">
        <f t="shared" si="14"/>
        <v>18663.68</v>
      </c>
      <c r="W43" s="963"/>
      <c r="X43" s="964"/>
      <c r="Z43" s="788">
        <f t="shared" si="6"/>
      </c>
      <c r="AA43" s="788">
        <f t="shared" si="7"/>
      </c>
      <c r="AB43" s="788">
        <f t="shared" si="8"/>
      </c>
    </row>
    <row r="44" spans="1:28" s="773" customFormat="1" ht="27.75" customHeight="1">
      <c r="A44" s="960">
        <v>1</v>
      </c>
      <c r="B44" s="961">
        <v>5</v>
      </c>
      <c r="C44" s="961">
        <v>1</v>
      </c>
      <c r="D44" s="962">
        <v>270</v>
      </c>
      <c r="E44" s="961">
        <v>103</v>
      </c>
      <c r="F44" s="924" t="s">
        <v>110</v>
      </c>
      <c r="G44" s="959" t="s">
        <v>482</v>
      </c>
      <c r="H44" s="728">
        <v>9797.05</v>
      </c>
      <c r="I44" s="728"/>
      <c r="J44" s="728"/>
      <c r="K44" s="728">
        <v>15000</v>
      </c>
      <c r="L44" s="728"/>
      <c r="M44" s="728">
        <v>12000</v>
      </c>
      <c r="N44" s="774"/>
      <c r="O44" s="774"/>
      <c r="P44" s="774">
        <v>8000</v>
      </c>
      <c r="Q44" s="774"/>
      <c r="R44" s="774"/>
      <c r="S44" s="728">
        <v>8000</v>
      </c>
      <c r="T44" s="777"/>
      <c r="U44" s="774"/>
      <c r="V44" s="778">
        <f t="shared" si="14"/>
        <v>21797.05</v>
      </c>
      <c r="W44" s="963"/>
      <c r="X44" s="964"/>
      <c r="Z44" s="788">
        <f t="shared" si="6"/>
      </c>
      <c r="AA44" s="788">
        <f t="shared" si="7"/>
      </c>
      <c r="AB44" s="788">
        <f t="shared" si="8"/>
      </c>
    </row>
    <row r="45" spans="1:28" s="773" customFormat="1" ht="27.75" customHeight="1">
      <c r="A45" s="953">
        <v>1</v>
      </c>
      <c r="B45" s="954">
        <v>5</v>
      </c>
      <c r="C45" s="954">
        <v>1</v>
      </c>
      <c r="D45" s="985">
        <v>290</v>
      </c>
      <c r="E45" s="954">
        <v>102</v>
      </c>
      <c r="F45" s="923" t="s">
        <v>7</v>
      </c>
      <c r="G45" s="956" t="s">
        <v>255</v>
      </c>
      <c r="H45" s="731">
        <v>22713.81</v>
      </c>
      <c r="I45" s="731"/>
      <c r="J45" s="731"/>
      <c r="K45" s="731">
        <v>3000</v>
      </c>
      <c r="L45" s="731"/>
      <c r="M45" s="731">
        <v>3000</v>
      </c>
      <c r="N45" s="921"/>
      <c r="O45" s="921"/>
      <c r="P45" s="921">
        <v>3000</v>
      </c>
      <c r="Q45" s="779"/>
      <c r="R45" s="921"/>
      <c r="S45" s="731">
        <v>3000</v>
      </c>
      <c r="T45" s="780"/>
      <c r="U45" s="779"/>
      <c r="V45" s="778">
        <f t="shared" si="14"/>
        <v>25713.81</v>
      </c>
      <c r="W45" s="957"/>
      <c r="X45" s="958"/>
      <c r="Z45" s="788">
        <f>IF(V45&gt;(H45+M45+N45),"ERRORE","")</f>
      </c>
      <c r="AA45" s="788">
        <f>IF(W45&gt;(H45+P45+Q45),"ERRORE","")</f>
      </c>
      <c r="AB45" s="788">
        <f>IF(X45&gt;(H45+S45+T45),"ERRORE","")</f>
      </c>
    </row>
    <row r="46" spans="1:28" s="773" customFormat="1" ht="27.75" customHeight="1">
      <c r="A46" s="960">
        <v>1</v>
      </c>
      <c r="B46" s="961">
        <v>5</v>
      </c>
      <c r="C46" s="961">
        <v>1</v>
      </c>
      <c r="D46" s="962">
        <v>320</v>
      </c>
      <c r="E46" s="961">
        <v>103</v>
      </c>
      <c r="F46" s="924" t="s">
        <v>112</v>
      </c>
      <c r="G46" s="959" t="s">
        <v>483</v>
      </c>
      <c r="H46" s="728">
        <v>1372.44</v>
      </c>
      <c r="I46" s="728"/>
      <c r="J46" s="728"/>
      <c r="K46" s="728">
        <v>1000</v>
      </c>
      <c r="L46" s="728"/>
      <c r="M46" s="728">
        <v>1000</v>
      </c>
      <c r="N46" s="774"/>
      <c r="O46" s="774"/>
      <c r="P46" s="774">
        <v>1000</v>
      </c>
      <c r="Q46" s="774"/>
      <c r="R46" s="774"/>
      <c r="S46" s="728">
        <v>1000</v>
      </c>
      <c r="T46" s="777"/>
      <c r="U46" s="774"/>
      <c r="V46" s="778">
        <f t="shared" si="14"/>
        <v>2372.44</v>
      </c>
      <c r="W46" s="963"/>
      <c r="X46" s="964"/>
      <c r="Z46" s="788">
        <f t="shared" si="6"/>
      </c>
      <c r="AA46" s="788">
        <f t="shared" si="7"/>
      </c>
      <c r="AB46" s="788">
        <f t="shared" si="8"/>
      </c>
    </row>
    <row r="47" spans="1:28" s="773" customFormat="1" ht="27.75" customHeight="1">
      <c r="A47" s="960">
        <v>1</v>
      </c>
      <c r="B47" s="961">
        <v>5</v>
      </c>
      <c r="C47" s="961">
        <v>1</v>
      </c>
      <c r="D47" s="962">
        <v>330</v>
      </c>
      <c r="E47" s="961">
        <v>103</v>
      </c>
      <c r="F47" s="924" t="s">
        <v>112</v>
      </c>
      <c r="G47" s="959" t="s">
        <v>484</v>
      </c>
      <c r="H47" s="728">
        <v>19269.07</v>
      </c>
      <c r="I47" s="728"/>
      <c r="J47" s="728"/>
      <c r="K47" s="728">
        <f>15000+10000</f>
        <v>25000</v>
      </c>
      <c r="L47" s="728">
        <v>8818.16</v>
      </c>
      <c r="M47" s="728">
        <v>10000</v>
      </c>
      <c r="N47" s="774"/>
      <c r="O47" s="774"/>
      <c r="P47" s="774">
        <v>7000</v>
      </c>
      <c r="Q47" s="774"/>
      <c r="R47" s="774"/>
      <c r="S47" s="728">
        <v>7000</v>
      </c>
      <c r="T47" s="777"/>
      <c r="U47" s="798"/>
      <c r="V47" s="778">
        <f t="shared" si="14"/>
        <v>29269.07</v>
      </c>
      <c r="W47" s="963"/>
      <c r="X47" s="964"/>
      <c r="Z47" s="788">
        <f t="shared" si="6"/>
      </c>
      <c r="AA47" s="788">
        <f t="shared" si="7"/>
      </c>
      <c r="AB47" s="788">
        <f t="shared" si="8"/>
      </c>
    </row>
    <row r="48" spans="1:28" s="853" customFormat="1" ht="30.75" customHeight="1">
      <c r="A48" s="1339" t="s">
        <v>38</v>
      </c>
      <c r="B48" s="1340"/>
      <c r="C48" s="1340"/>
      <c r="D48" s="1340"/>
      <c r="E48" s="1340"/>
      <c r="F48" s="1340"/>
      <c r="G48" s="1341"/>
      <c r="H48" s="732">
        <f aca="true" t="shared" si="15" ref="H48:X48">SUM(H42:H47)</f>
        <v>79334.98999999999</v>
      </c>
      <c r="I48" s="732">
        <f t="shared" si="15"/>
        <v>0</v>
      </c>
      <c r="J48" s="732">
        <f t="shared" si="15"/>
        <v>0</v>
      </c>
      <c r="K48" s="730">
        <f t="shared" si="15"/>
        <v>122000</v>
      </c>
      <c r="L48" s="730">
        <f t="shared" si="15"/>
        <v>8818.16</v>
      </c>
      <c r="M48" s="730">
        <f t="shared" si="15"/>
        <v>90500</v>
      </c>
      <c r="N48" s="730">
        <f t="shared" si="15"/>
        <v>0</v>
      </c>
      <c r="O48" s="730">
        <f t="shared" si="15"/>
        <v>0</v>
      </c>
      <c r="P48" s="730">
        <f t="shared" si="15"/>
        <v>83500</v>
      </c>
      <c r="Q48" s="975">
        <f t="shared" si="15"/>
        <v>0</v>
      </c>
      <c r="R48" s="975">
        <f t="shared" si="15"/>
        <v>0</v>
      </c>
      <c r="S48" s="975">
        <f t="shared" si="15"/>
        <v>83500</v>
      </c>
      <c r="T48" s="975">
        <f t="shared" si="15"/>
        <v>0</v>
      </c>
      <c r="U48" s="975">
        <f t="shared" si="15"/>
        <v>0</v>
      </c>
      <c r="V48" s="833">
        <f t="shared" si="15"/>
        <v>169834.99000000002</v>
      </c>
      <c r="W48" s="986">
        <f t="shared" si="15"/>
        <v>0</v>
      </c>
      <c r="X48" s="977">
        <f t="shared" si="15"/>
        <v>0</v>
      </c>
      <c r="Z48" s="788">
        <f t="shared" si="6"/>
      </c>
      <c r="AA48" s="788">
        <f t="shared" si="7"/>
      </c>
      <c r="AB48" s="788">
        <f t="shared" si="8"/>
      </c>
    </row>
    <row r="49" spans="1:28" s="773" customFormat="1" ht="27.75" customHeight="1">
      <c r="A49" s="953">
        <v>1</v>
      </c>
      <c r="B49" s="954">
        <v>6</v>
      </c>
      <c r="C49" s="954">
        <v>1</v>
      </c>
      <c r="D49" s="985">
        <v>300</v>
      </c>
      <c r="E49" s="954">
        <v>101</v>
      </c>
      <c r="F49" s="923" t="s">
        <v>97</v>
      </c>
      <c r="G49" s="956" t="s">
        <v>240</v>
      </c>
      <c r="H49" s="731">
        <v>21789.4</v>
      </c>
      <c r="I49" s="731"/>
      <c r="J49" s="731"/>
      <c r="K49" s="731">
        <v>115000</v>
      </c>
      <c r="L49" s="731"/>
      <c r="M49" s="731">
        <v>115000</v>
      </c>
      <c r="N49" s="921"/>
      <c r="O49" s="921"/>
      <c r="P49" s="921">
        <v>115000</v>
      </c>
      <c r="Q49" s="779"/>
      <c r="R49" s="921"/>
      <c r="S49" s="731">
        <v>115000</v>
      </c>
      <c r="T49" s="780"/>
      <c r="U49" s="779"/>
      <c r="V49" s="1226">
        <f aca="true" t="shared" si="16" ref="V49:V55">H49+M49</f>
        <v>136789.4</v>
      </c>
      <c r="W49" s="957"/>
      <c r="X49" s="958"/>
      <c r="Z49" s="788">
        <f t="shared" si="6"/>
      </c>
      <c r="AA49" s="788">
        <f t="shared" si="7"/>
      </c>
      <c r="AB49" s="788">
        <f t="shared" si="8"/>
      </c>
    </row>
    <row r="50" spans="1:28" s="773" customFormat="1" ht="27.75" customHeight="1">
      <c r="A50" s="960">
        <v>1</v>
      </c>
      <c r="B50" s="961">
        <v>6</v>
      </c>
      <c r="C50" s="961">
        <v>1</v>
      </c>
      <c r="D50" s="924">
        <v>305</v>
      </c>
      <c r="E50" s="965">
        <v>103</v>
      </c>
      <c r="F50" s="924" t="s">
        <v>99</v>
      </c>
      <c r="G50" s="956" t="s">
        <v>174</v>
      </c>
      <c r="H50" s="728">
        <v>1500</v>
      </c>
      <c r="I50" s="728"/>
      <c r="J50" s="728"/>
      <c r="K50" s="728">
        <v>1500</v>
      </c>
      <c r="L50" s="728"/>
      <c r="M50" s="728">
        <v>1500</v>
      </c>
      <c r="N50" s="774"/>
      <c r="O50" s="774"/>
      <c r="P50" s="774">
        <v>1500</v>
      </c>
      <c r="Q50" s="774"/>
      <c r="R50" s="774"/>
      <c r="S50" s="728">
        <v>1500</v>
      </c>
      <c r="T50" s="777"/>
      <c r="U50" s="798"/>
      <c r="V50" s="778">
        <f t="shared" si="16"/>
        <v>3000</v>
      </c>
      <c r="W50" s="963"/>
      <c r="X50" s="964"/>
      <c r="Z50" s="788">
        <f>IF(V50&gt;(H50+M50+N50),"ERRORE","")</f>
      </c>
      <c r="AA50" s="788">
        <f>IF(W50&gt;(H50+P50+Q50),"ERRORE","")</f>
      </c>
      <c r="AB50" s="788">
        <f>IF(X50&gt;(H50+S50+T50),"ERRORE","")</f>
      </c>
    </row>
    <row r="51" spans="1:28" s="773" customFormat="1" ht="27.75" customHeight="1">
      <c r="A51" s="960">
        <v>1</v>
      </c>
      <c r="B51" s="961">
        <v>6</v>
      </c>
      <c r="C51" s="961">
        <v>1</v>
      </c>
      <c r="D51" s="962">
        <v>310</v>
      </c>
      <c r="E51" s="961">
        <v>101</v>
      </c>
      <c r="F51" s="924" t="s">
        <v>98</v>
      </c>
      <c r="G51" s="959" t="s">
        <v>251</v>
      </c>
      <c r="H51" s="728">
        <v>3033.99</v>
      </c>
      <c r="I51" s="728"/>
      <c r="J51" s="728"/>
      <c r="K51" s="728">
        <v>28200</v>
      </c>
      <c r="L51" s="728"/>
      <c r="M51" s="728">
        <v>28100</v>
      </c>
      <c r="N51" s="774"/>
      <c r="O51" s="774"/>
      <c r="P51" s="774">
        <v>28100</v>
      </c>
      <c r="Q51" s="774"/>
      <c r="R51" s="774"/>
      <c r="S51" s="728">
        <v>28100</v>
      </c>
      <c r="T51" s="777"/>
      <c r="U51" s="774"/>
      <c r="V51" s="778">
        <f t="shared" si="16"/>
        <v>31133.989999999998</v>
      </c>
      <c r="W51" s="963"/>
      <c r="X51" s="964"/>
      <c r="Z51" s="788">
        <f t="shared" si="6"/>
      </c>
      <c r="AA51" s="788">
        <f t="shared" si="7"/>
      </c>
      <c r="AB51" s="788">
        <f t="shared" si="8"/>
      </c>
    </row>
    <row r="52" spans="1:28" s="758" customFormat="1" ht="27.75" customHeight="1">
      <c r="A52" s="960">
        <v>1</v>
      </c>
      <c r="B52" s="961">
        <v>6</v>
      </c>
      <c r="C52" s="961">
        <v>1</v>
      </c>
      <c r="D52" s="987">
        <v>315</v>
      </c>
      <c r="E52" s="961">
        <v>102</v>
      </c>
      <c r="F52" s="924" t="s">
        <v>105</v>
      </c>
      <c r="G52" s="997" t="s">
        <v>241</v>
      </c>
      <c r="H52" s="918">
        <v>1534.84</v>
      </c>
      <c r="I52" s="918"/>
      <c r="J52" s="918"/>
      <c r="K52" s="918">
        <v>8800</v>
      </c>
      <c r="L52" s="918"/>
      <c r="M52" s="918">
        <v>8800</v>
      </c>
      <c r="N52" s="932"/>
      <c r="O52" s="932"/>
      <c r="P52" s="932">
        <v>8800</v>
      </c>
      <c r="Q52" s="932"/>
      <c r="R52" s="932"/>
      <c r="S52" s="918">
        <v>8800</v>
      </c>
      <c r="T52" s="989"/>
      <c r="U52" s="932"/>
      <c r="V52" s="778">
        <f t="shared" si="16"/>
        <v>10334.84</v>
      </c>
      <c r="W52" s="990"/>
      <c r="X52" s="991"/>
      <c r="Z52" s="788">
        <f t="shared" si="6"/>
      </c>
      <c r="AA52" s="788">
        <f t="shared" si="7"/>
      </c>
      <c r="AB52" s="788">
        <f t="shared" si="8"/>
      </c>
    </row>
    <row r="53" spans="1:28" s="758" customFormat="1" ht="27.75" customHeight="1">
      <c r="A53" s="960">
        <v>1</v>
      </c>
      <c r="B53" s="961">
        <v>6</v>
      </c>
      <c r="C53" s="961">
        <v>1</v>
      </c>
      <c r="D53" s="987">
        <v>316</v>
      </c>
      <c r="E53" s="961">
        <v>101</v>
      </c>
      <c r="F53" s="1214" t="s">
        <v>995</v>
      </c>
      <c r="G53" s="1256" t="s">
        <v>897</v>
      </c>
      <c r="H53" s="1295"/>
      <c r="I53" s="918"/>
      <c r="J53" s="918"/>
      <c r="K53" s="918"/>
      <c r="L53" s="918"/>
      <c r="M53" s="918">
        <v>5375.6</v>
      </c>
      <c r="N53" s="932"/>
      <c r="O53" s="932"/>
      <c r="P53" s="932">
        <v>5375.6</v>
      </c>
      <c r="Q53" s="932"/>
      <c r="R53" s="932"/>
      <c r="S53" s="918">
        <v>5375.6</v>
      </c>
      <c r="T53" s="989"/>
      <c r="U53" s="1091"/>
      <c r="V53" s="778">
        <f t="shared" si="16"/>
        <v>5375.6</v>
      </c>
      <c r="W53" s="990"/>
      <c r="X53" s="991"/>
      <c r="Z53" s="788">
        <f t="shared" si="6"/>
      </c>
      <c r="AA53" s="788">
        <f t="shared" si="7"/>
      </c>
      <c r="AB53" s="788">
        <f t="shared" si="8"/>
      </c>
    </row>
    <row r="54" spans="1:28" s="758" customFormat="1" ht="27.75" customHeight="1">
      <c r="A54" s="960">
        <v>1</v>
      </c>
      <c r="B54" s="961">
        <v>6</v>
      </c>
      <c r="C54" s="961">
        <v>1</v>
      </c>
      <c r="D54" s="987">
        <v>317</v>
      </c>
      <c r="E54" s="961">
        <v>101</v>
      </c>
      <c r="F54" s="1214" t="s">
        <v>996</v>
      </c>
      <c r="G54" s="1256" t="s">
        <v>898</v>
      </c>
      <c r="H54" s="990"/>
      <c r="I54" s="918"/>
      <c r="J54" s="918"/>
      <c r="K54" s="918"/>
      <c r="L54" s="918"/>
      <c r="M54" s="918">
        <v>1944.4</v>
      </c>
      <c r="N54" s="918"/>
      <c r="O54" s="918"/>
      <c r="P54" s="918">
        <v>1944.4</v>
      </c>
      <c r="Q54" s="918"/>
      <c r="R54" s="918"/>
      <c r="S54" s="918">
        <v>1944.4</v>
      </c>
      <c r="T54" s="989"/>
      <c r="U54" s="1091"/>
      <c r="V54" s="778">
        <f t="shared" si="16"/>
        <v>1944.4</v>
      </c>
      <c r="W54" s="990"/>
      <c r="X54" s="991"/>
      <c r="Z54" s="788">
        <f t="shared" si="6"/>
      </c>
      <c r="AA54" s="788">
        <f t="shared" si="7"/>
      </c>
      <c r="AB54" s="788">
        <f t="shared" si="8"/>
      </c>
    </row>
    <row r="55" spans="1:28" s="758" customFormat="1" ht="27.75" customHeight="1">
      <c r="A55" s="960">
        <v>1</v>
      </c>
      <c r="B55" s="961">
        <v>6</v>
      </c>
      <c r="C55" s="961">
        <v>1</v>
      </c>
      <c r="D55" s="987">
        <v>318</v>
      </c>
      <c r="E55" s="961">
        <v>102</v>
      </c>
      <c r="F55" s="1214" t="s">
        <v>996</v>
      </c>
      <c r="G55" s="1256" t="s">
        <v>899</v>
      </c>
      <c r="H55" s="990"/>
      <c r="I55" s="918"/>
      <c r="J55" s="918"/>
      <c r="K55" s="918"/>
      <c r="L55" s="918"/>
      <c r="M55" s="918">
        <v>680</v>
      </c>
      <c r="N55" s="918"/>
      <c r="O55" s="918"/>
      <c r="P55" s="918">
        <v>680</v>
      </c>
      <c r="Q55" s="918"/>
      <c r="R55" s="918"/>
      <c r="S55" s="918">
        <v>680</v>
      </c>
      <c r="T55" s="989"/>
      <c r="U55" s="1091"/>
      <c r="V55" s="778">
        <f t="shared" si="16"/>
        <v>680</v>
      </c>
      <c r="W55" s="990"/>
      <c r="X55" s="991"/>
      <c r="Z55" s="788">
        <f t="shared" si="6"/>
      </c>
      <c r="AA55" s="788">
        <f t="shared" si="7"/>
      </c>
      <c r="AB55" s="788">
        <f t="shared" si="8"/>
      </c>
    </row>
    <row r="56" spans="1:28" s="853" customFormat="1" ht="21" customHeight="1">
      <c r="A56" s="1339" t="s">
        <v>39</v>
      </c>
      <c r="B56" s="1340"/>
      <c r="C56" s="1340"/>
      <c r="D56" s="1340"/>
      <c r="E56" s="1340"/>
      <c r="F56" s="1340"/>
      <c r="G56" s="1341"/>
      <c r="H56" s="732">
        <f aca="true" t="shared" si="17" ref="H56:X56">SUM(H49:H55)</f>
        <v>27858.23</v>
      </c>
      <c r="I56" s="732">
        <f t="shared" si="17"/>
        <v>0</v>
      </c>
      <c r="J56" s="732">
        <f t="shared" si="17"/>
        <v>0</v>
      </c>
      <c r="K56" s="730">
        <f t="shared" si="17"/>
        <v>153500</v>
      </c>
      <c r="L56" s="730">
        <f t="shared" si="17"/>
        <v>0</v>
      </c>
      <c r="M56" s="730">
        <f t="shared" si="17"/>
        <v>161400</v>
      </c>
      <c r="N56" s="730">
        <f t="shared" si="17"/>
        <v>0</v>
      </c>
      <c r="O56" s="730">
        <f t="shared" si="17"/>
        <v>0</v>
      </c>
      <c r="P56" s="730">
        <f t="shared" si="17"/>
        <v>161400</v>
      </c>
      <c r="Q56" s="975">
        <f t="shared" si="17"/>
        <v>0</v>
      </c>
      <c r="R56" s="975">
        <f t="shared" si="17"/>
        <v>0</v>
      </c>
      <c r="S56" s="975">
        <f t="shared" si="17"/>
        <v>161400</v>
      </c>
      <c r="T56" s="975">
        <f t="shared" si="17"/>
        <v>0</v>
      </c>
      <c r="U56" s="975">
        <f t="shared" si="17"/>
        <v>0</v>
      </c>
      <c r="V56" s="833">
        <f t="shared" si="17"/>
        <v>189258.22999999998</v>
      </c>
      <c r="W56" s="986">
        <f t="shared" si="17"/>
        <v>0</v>
      </c>
      <c r="X56" s="977">
        <f t="shared" si="17"/>
        <v>0</v>
      </c>
      <c r="Z56" s="788">
        <f t="shared" si="6"/>
      </c>
      <c r="AA56" s="788">
        <f t="shared" si="7"/>
      </c>
      <c r="AB56" s="788">
        <f t="shared" si="8"/>
      </c>
    </row>
    <row r="57" spans="1:28" s="758" customFormat="1" ht="27.75" customHeight="1">
      <c r="A57" s="953">
        <v>1</v>
      </c>
      <c r="B57" s="954">
        <v>7</v>
      </c>
      <c r="C57" s="954">
        <v>1</v>
      </c>
      <c r="D57" s="992">
        <v>355</v>
      </c>
      <c r="E57" s="954">
        <v>101</v>
      </c>
      <c r="F57" s="923" t="s">
        <v>97</v>
      </c>
      <c r="G57" s="993" t="s">
        <v>485</v>
      </c>
      <c r="H57" s="733">
        <v>9071.15</v>
      </c>
      <c r="I57" s="733"/>
      <c r="J57" s="733"/>
      <c r="K57" s="733">
        <v>50600</v>
      </c>
      <c r="L57" s="733"/>
      <c r="M57" s="726">
        <v>51300</v>
      </c>
      <c r="N57" s="1095"/>
      <c r="O57" s="1095"/>
      <c r="P57" s="1095">
        <v>51300</v>
      </c>
      <c r="Q57" s="792"/>
      <c r="R57" s="1095"/>
      <c r="S57" s="726">
        <v>51300</v>
      </c>
      <c r="T57" s="793"/>
      <c r="U57" s="792"/>
      <c r="V57" s="794">
        <f aca="true" t="shared" si="18" ref="V57:V63">H57+M57</f>
        <v>60371.15</v>
      </c>
      <c r="W57" s="994"/>
      <c r="X57" s="995"/>
      <c r="Z57" s="788">
        <f t="shared" si="6"/>
      </c>
      <c r="AA57" s="788">
        <f t="shared" si="7"/>
      </c>
      <c r="AB57" s="788">
        <f t="shared" si="8"/>
      </c>
    </row>
    <row r="58" spans="1:28" s="758" customFormat="1" ht="27.75" customHeight="1">
      <c r="A58" s="953">
        <v>1</v>
      </c>
      <c r="B58" s="954">
        <v>7</v>
      </c>
      <c r="C58" s="954">
        <v>1</v>
      </c>
      <c r="D58" s="992">
        <v>356</v>
      </c>
      <c r="E58" s="954">
        <v>101</v>
      </c>
      <c r="F58" s="923" t="s">
        <v>98</v>
      </c>
      <c r="G58" s="993" t="s">
        <v>486</v>
      </c>
      <c r="H58" s="918">
        <v>2293.65</v>
      </c>
      <c r="I58" s="918"/>
      <c r="J58" s="918"/>
      <c r="K58" s="918">
        <v>13900</v>
      </c>
      <c r="L58" s="918"/>
      <c r="M58" s="918">
        <v>14000</v>
      </c>
      <c r="N58" s="795"/>
      <c r="O58" s="795"/>
      <c r="P58" s="795">
        <v>14000</v>
      </c>
      <c r="Q58" s="795"/>
      <c r="R58" s="795"/>
      <c r="S58" s="727">
        <v>14000</v>
      </c>
      <c r="T58" s="796"/>
      <c r="U58" s="795"/>
      <c r="V58" s="797">
        <f t="shared" si="18"/>
        <v>16293.65</v>
      </c>
      <c r="W58" s="990"/>
      <c r="X58" s="991"/>
      <c r="Z58" s="788">
        <f t="shared" si="6"/>
      </c>
      <c r="AA58" s="788">
        <f t="shared" si="7"/>
      </c>
      <c r="AB58" s="788">
        <f t="shared" si="8"/>
      </c>
    </row>
    <row r="59" spans="1:28" s="758" customFormat="1" ht="27.75" customHeight="1">
      <c r="A59" s="960">
        <v>1</v>
      </c>
      <c r="B59" s="961">
        <v>7</v>
      </c>
      <c r="C59" s="961">
        <v>1</v>
      </c>
      <c r="D59" s="987">
        <v>357</v>
      </c>
      <c r="E59" s="961">
        <v>102</v>
      </c>
      <c r="F59" s="924" t="s">
        <v>105</v>
      </c>
      <c r="G59" s="988" t="s">
        <v>487</v>
      </c>
      <c r="H59" s="918">
        <v>789.73</v>
      </c>
      <c r="I59" s="918"/>
      <c r="J59" s="918"/>
      <c r="K59" s="918">
        <v>4500</v>
      </c>
      <c r="L59" s="918"/>
      <c r="M59" s="918">
        <v>4500</v>
      </c>
      <c r="N59" s="795"/>
      <c r="O59" s="795"/>
      <c r="P59" s="795">
        <v>4500</v>
      </c>
      <c r="Q59" s="795"/>
      <c r="R59" s="795"/>
      <c r="S59" s="727">
        <v>4500</v>
      </c>
      <c r="T59" s="796"/>
      <c r="U59" s="795"/>
      <c r="V59" s="797">
        <f t="shared" si="18"/>
        <v>5289.73</v>
      </c>
      <c r="W59" s="990"/>
      <c r="X59" s="991"/>
      <c r="Z59" s="788">
        <f t="shared" si="6"/>
      </c>
      <c r="AA59" s="788">
        <f t="shared" si="7"/>
      </c>
      <c r="AB59" s="788">
        <f t="shared" si="8"/>
      </c>
    </row>
    <row r="60" spans="1:28" s="758" customFormat="1" ht="27.75" customHeight="1">
      <c r="A60" s="782">
        <v>1</v>
      </c>
      <c r="B60" s="783">
        <v>7</v>
      </c>
      <c r="C60" s="783">
        <v>1</v>
      </c>
      <c r="D60" s="827">
        <v>358</v>
      </c>
      <c r="E60" s="783">
        <v>103</v>
      </c>
      <c r="F60" s="784" t="s">
        <v>982</v>
      </c>
      <c r="G60" s="785" t="s">
        <v>611</v>
      </c>
      <c r="H60" s="734">
        <v>10000</v>
      </c>
      <c r="I60" s="734"/>
      <c r="J60" s="734"/>
      <c r="K60" s="734">
        <v>24500</v>
      </c>
      <c r="L60" s="734"/>
      <c r="M60" s="734">
        <v>18000</v>
      </c>
      <c r="N60" s="789"/>
      <c r="O60" s="789"/>
      <c r="P60" s="789">
        <v>10000</v>
      </c>
      <c r="Q60" s="789"/>
      <c r="R60" s="789"/>
      <c r="S60" s="739">
        <v>10000</v>
      </c>
      <c r="T60" s="790"/>
      <c r="U60" s="789"/>
      <c r="V60" s="797">
        <f t="shared" si="18"/>
        <v>28000</v>
      </c>
      <c r="W60" s="786"/>
      <c r="X60" s="787"/>
      <c r="Z60" s="788">
        <f t="shared" si="6"/>
      </c>
      <c r="AA60" s="788">
        <f t="shared" si="7"/>
      </c>
      <c r="AB60" s="788">
        <f t="shared" si="8"/>
      </c>
    </row>
    <row r="61" spans="1:28" s="758" customFormat="1" ht="27.75" customHeight="1">
      <c r="A61" s="782">
        <v>1</v>
      </c>
      <c r="B61" s="783">
        <v>7</v>
      </c>
      <c r="C61" s="783">
        <v>1</v>
      </c>
      <c r="D61" s="784">
        <v>360</v>
      </c>
      <c r="E61" s="967">
        <v>104</v>
      </c>
      <c r="F61" s="784" t="s">
        <v>114</v>
      </c>
      <c r="G61" s="997" t="s">
        <v>175</v>
      </c>
      <c r="H61" s="734">
        <v>0</v>
      </c>
      <c r="I61" s="734"/>
      <c r="J61" s="734"/>
      <c r="K61" s="734">
        <v>1000</v>
      </c>
      <c r="L61" s="734"/>
      <c r="M61" s="734">
        <v>1000</v>
      </c>
      <c r="N61" s="1091"/>
      <c r="O61" s="1091"/>
      <c r="P61" s="1091">
        <v>1000</v>
      </c>
      <c r="Q61" s="929"/>
      <c r="R61" s="1091"/>
      <c r="S61" s="734">
        <v>1000</v>
      </c>
      <c r="T61" s="998"/>
      <c r="U61" s="929"/>
      <c r="V61" s="797">
        <f t="shared" si="18"/>
        <v>1000</v>
      </c>
      <c r="W61" s="786"/>
      <c r="X61" s="787"/>
      <c r="Z61" s="788">
        <f>IF(V61&gt;(H61+M61+N61),"ERRORE","")</f>
      </c>
      <c r="AA61" s="788">
        <f>IF(W61&gt;(H61+P61+Q61),"ERRORE","")</f>
      </c>
      <c r="AB61" s="788">
        <f>IF(X61&gt;(H61+S61+T61),"ERRORE","")</f>
      </c>
    </row>
    <row r="62" spans="1:28" s="758" customFormat="1" ht="27.75" customHeight="1">
      <c r="A62" s="782">
        <v>1</v>
      </c>
      <c r="B62" s="783">
        <v>7</v>
      </c>
      <c r="C62" s="783">
        <v>1</v>
      </c>
      <c r="D62" s="996">
        <v>365</v>
      </c>
      <c r="E62" s="783">
        <v>104</v>
      </c>
      <c r="F62" s="784" t="s">
        <v>983</v>
      </c>
      <c r="G62" s="785" t="s">
        <v>695</v>
      </c>
      <c r="H62" s="734">
        <v>0</v>
      </c>
      <c r="I62" s="734"/>
      <c r="J62" s="734"/>
      <c r="K62" s="734">
        <v>9000</v>
      </c>
      <c r="L62" s="734"/>
      <c r="M62" s="734">
        <v>9000</v>
      </c>
      <c r="N62" s="789"/>
      <c r="O62" s="789"/>
      <c r="P62" s="789">
        <v>9000</v>
      </c>
      <c r="Q62" s="789"/>
      <c r="R62" s="789"/>
      <c r="S62" s="739">
        <v>9000</v>
      </c>
      <c r="T62" s="790"/>
      <c r="U62" s="789"/>
      <c r="V62" s="797">
        <f t="shared" si="18"/>
        <v>9000</v>
      </c>
      <c r="W62" s="786"/>
      <c r="X62" s="787"/>
      <c r="Z62" s="788">
        <f t="shared" si="6"/>
      </c>
      <c r="AA62" s="788">
        <f t="shared" si="7"/>
      </c>
      <c r="AB62" s="788">
        <f t="shared" si="8"/>
      </c>
    </row>
    <row r="63" spans="1:28" s="758" customFormat="1" ht="27.75" customHeight="1">
      <c r="A63" s="782">
        <v>1</v>
      </c>
      <c r="B63" s="783">
        <v>7</v>
      </c>
      <c r="C63" s="783">
        <v>1</v>
      </c>
      <c r="D63" s="996">
        <v>380</v>
      </c>
      <c r="E63" s="783">
        <v>103</v>
      </c>
      <c r="F63" s="784" t="s">
        <v>103</v>
      </c>
      <c r="G63" s="997" t="s">
        <v>488</v>
      </c>
      <c r="H63" s="734">
        <v>12587.02</v>
      </c>
      <c r="I63" s="734"/>
      <c r="J63" s="734"/>
      <c r="K63" s="734">
        <v>20000</v>
      </c>
      <c r="L63" s="734"/>
      <c r="M63" s="734">
        <v>20000</v>
      </c>
      <c r="N63" s="789"/>
      <c r="O63" s="789"/>
      <c r="P63" s="789">
        <v>20000</v>
      </c>
      <c r="Q63" s="789"/>
      <c r="R63" s="789"/>
      <c r="S63" s="739">
        <v>20000</v>
      </c>
      <c r="T63" s="790"/>
      <c r="U63" s="789"/>
      <c r="V63" s="797">
        <f t="shared" si="18"/>
        <v>32587.02</v>
      </c>
      <c r="W63" s="786"/>
      <c r="X63" s="787"/>
      <c r="Z63" s="788">
        <f t="shared" si="6"/>
      </c>
      <c r="AA63" s="788">
        <f t="shared" si="7"/>
      </c>
      <c r="AB63" s="788">
        <f t="shared" si="8"/>
      </c>
    </row>
    <row r="64" spans="1:28" s="853" customFormat="1" ht="32.25" customHeight="1">
      <c r="A64" s="1339" t="s">
        <v>40</v>
      </c>
      <c r="B64" s="1340"/>
      <c r="C64" s="1340"/>
      <c r="D64" s="1340"/>
      <c r="E64" s="1340"/>
      <c r="F64" s="1340"/>
      <c r="G64" s="1341"/>
      <c r="H64" s="732">
        <f aca="true" t="shared" si="19" ref="H64:X64">SUM(H57:H63)</f>
        <v>34741.55</v>
      </c>
      <c r="I64" s="732">
        <f t="shared" si="19"/>
        <v>0</v>
      </c>
      <c r="J64" s="732">
        <f t="shared" si="19"/>
        <v>0</v>
      </c>
      <c r="K64" s="730">
        <f t="shared" si="19"/>
        <v>123500</v>
      </c>
      <c r="L64" s="730">
        <f t="shared" si="19"/>
        <v>0</v>
      </c>
      <c r="M64" s="730">
        <f t="shared" si="19"/>
        <v>117800</v>
      </c>
      <c r="N64" s="730">
        <f t="shared" si="19"/>
        <v>0</v>
      </c>
      <c r="O64" s="730">
        <f t="shared" si="19"/>
        <v>0</v>
      </c>
      <c r="P64" s="730">
        <f t="shared" si="19"/>
        <v>109800</v>
      </c>
      <c r="Q64" s="975">
        <f t="shared" si="19"/>
        <v>0</v>
      </c>
      <c r="R64" s="975">
        <f t="shared" si="19"/>
        <v>0</v>
      </c>
      <c r="S64" s="975">
        <f t="shared" si="19"/>
        <v>109800</v>
      </c>
      <c r="T64" s="975">
        <f t="shared" si="19"/>
        <v>0</v>
      </c>
      <c r="U64" s="975">
        <f t="shared" si="19"/>
        <v>0</v>
      </c>
      <c r="V64" s="833">
        <f t="shared" si="19"/>
        <v>152541.55</v>
      </c>
      <c r="W64" s="986">
        <f t="shared" si="19"/>
        <v>0</v>
      </c>
      <c r="X64" s="977">
        <f t="shared" si="19"/>
        <v>0</v>
      </c>
      <c r="Z64" s="788">
        <f t="shared" si="6"/>
      </c>
      <c r="AA64" s="788">
        <f t="shared" si="7"/>
      </c>
      <c r="AB64" s="788">
        <f t="shared" si="8"/>
      </c>
    </row>
    <row r="65" spans="1:28" s="758" customFormat="1" ht="27.75" customHeight="1">
      <c r="A65" s="953">
        <v>1</v>
      </c>
      <c r="B65" s="954">
        <v>8</v>
      </c>
      <c r="C65" s="954">
        <v>1</v>
      </c>
      <c r="D65" s="992">
        <v>153</v>
      </c>
      <c r="E65" s="954">
        <v>103</v>
      </c>
      <c r="F65" s="923" t="s">
        <v>104</v>
      </c>
      <c r="G65" s="993" t="s">
        <v>489</v>
      </c>
      <c r="H65" s="733">
        <v>11073.04</v>
      </c>
      <c r="I65" s="733"/>
      <c r="J65" s="733"/>
      <c r="K65" s="733">
        <f>32000+5000</f>
        <v>37000</v>
      </c>
      <c r="L65" s="733"/>
      <c r="M65" s="733">
        <v>37000</v>
      </c>
      <c r="N65" s="930"/>
      <c r="O65" s="930"/>
      <c r="P65" s="930">
        <v>37000</v>
      </c>
      <c r="Q65" s="931"/>
      <c r="R65" s="930"/>
      <c r="S65" s="733">
        <v>37000</v>
      </c>
      <c r="T65" s="999"/>
      <c r="U65" s="931"/>
      <c r="V65" s="835">
        <f>H65+M65</f>
        <v>48073.04</v>
      </c>
      <c r="W65" s="994"/>
      <c r="X65" s="995"/>
      <c r="Z65" s="788">
        <f t="shared" si="6"/>
      </c>
      <c r="AA65" s="788">
        <f t="shared" si="7"/>
      </c>
      <c r="AB65" s="788">
        <f t="shared" si="8"/>
      </c>
    </row>
    <row r="66" spans="1:28" s="758" customFormat="1" ht="27.75" customHeight="1">
      <c r="A66" s="953">
        <v>1</v>
      </c>
      <c r="B66" s="954">
        <v>8</v>
      </c>
      <c r="C66" s="954">
        <v>1</v>
      </c>
      <c r="D66" s="992">
        <v>156</v>
      </c>
      <c r="E66" s="954">
        <v>103</v>
      </c>
      <c r="F66" s="923" t="s">
        <v>997</v>
      </c>
      <c r="G66" s="1001" t="s">
        <v>925</v>
      </c>
      <c r="H66" s="733">
        <v>732</v>
      </c>
      <c r="I66" s="733"/>
      <c r="J66" s="733"/>
      <c r="K66" s="733">
        <v>4392</v>
      </c>
      <c r="L66" s="733"/>
      <c r="M66" s="733">
        <v>4392</v>
      </c>
      <c r="N66" s="930"/>
      <c r="O66" s="930"/>
      <c r="P66" s="930">
        <v>4392</v>
      </c>
      <c r="Q66" s="918"/>
      <c r="R66" s="930"/>
      <c r="S66" s="733">
        <v>4392</v>
      </c>
      <c r="T66" s="999"/>
      <c r="U66" s="932"/>
      <c r="V66" s="835">
        <f>H66+M66</f>
        <v>5124</v>
      </c>
      <c r="W66" s="994"/>
      <c r="X66" s="995"/>
      <c r="Z66" s="788">
        <f>IF(V66&gt;(H66+M66+N66),"ERRORE","")</f>
      </c>
      <c r="AA66" s="788">
        <f>IF(W66&gt;(H66+P66+Q66),"ERRORE","")</f>
      </c>
      <c r="AB66" s="788">
        <f>IF(X66&gt;(H66+S66+T66),"ERRORE","")</f>
      </c>
    </row>
    <row r="67" spans="1:28" s="853" customFormat="1" ht="24.75" customHeight="1">
      <c r="A67" s="1339" t="s">
        <v>41</v>
      </c>
      <c r="B67" s="1340"/>
      <c r="C67" s="1340"/>
      <c r="D67" s="1340"/>
      <c r="E67" s="1340"/>
      <c r="F67" s="1340"/>
      <c r="G67" s="1341"/>
      <c r="H67" s="732">
        <f aca="true" t="shared" si="20" ref="H67:X67">SUM(H65:H66)</f>
        <v>11805.04</v>
      </c>
      <c r="I67" s="732">
        <f t="shared" si="20"/>
        <v>0</v>
      </c>
      <c r="J67" s="732">
        <f t="shared" si="20"/>
        <v>0</v>
      </c>
      <c r="K67" s="732">
        <f t="shared" si="20"/>
        <v>41392</v>
      </c>
      <c r="L67" s="732">
        <f t="shared" si="20"/>
        <v>0</v>
      </c>
      <c r="M67" s="732">
        <f t="shared" si="20"/>
        <v>41392</v>
      </c>
      <c r="N67" s="732">
        <f t="shared" si="20"/>
        <v>0</v>
      </c>
      <c r="O67" s="732">
        <f t="shared" si="20"/>
        <v>0</v>
      </c>
      <c r="P67" s="732">
        <f t="shared" si="20"/>
        <v>41392</v>
      </c>
      <c r="Q67" s="732">
        <f t="shared" si="20"/>
        <v>0</v>
      </c>
      <c r="R67" s="732">
        <f t="shared" si="20"/>
        <v>0</v>
      </c>
      <c r="S67" s="732">
        <f t="shared" si="20"/>
        <v>41392</v>
      </c>
      <c r="T67" s="732">
        <f t="shared" si="20"/>
        <v>0</v>
      </c>
      <c r="U67" s="767">
        <f t="shared" si="20"/>
        <v>0</v>
      </c>
      <c r="V67" s="768">
        <f t="shared" si="20"/>
        <v>53197.04</v>
      </c>
      <c r="W67" s="1000">
        <f t="shared" si="20"/>
        <v>0</v>
      </c>
      <c r="X67" s="732">
        <f t="shared" si="20"/>
        <v>0</v>
      </c>
      <c r="Y67" s="978"/>
      <c r="Z67" s="788">
        <f t="shared" si="6"/>
      </c>
      <c r="AA67" s="788">
        <f t="shared" si="7"/>
      </c>
      <c r="AB67" s="788">
        <f t="shared" si="8"/>
      </c>
    </row>
    <row r="68" spans="1:28" s="758" customFormat="1" ht="27.75" customHeight="1" hidden="1">
      <c r="A68" s="953">
        <v>1</v>
      </c>
      <c r="B68" s="954">
        <v>9</v>
      </c>
      <c r="C68" s="954">
        <v>1</v>
      </c>
      <c r="D68" s="923">
        <v>265</v>
      </c>
      <c r="E68" s="955">
        <v>104</v>
      </c>
      <c r="F68" s="923"/>
      <c r="G68" s="1001" t="s">
        <v>270</v>
      </c>
      <c r="H68" s="733"/>
      <c r="I68" s="733"/>
      <c r="J68" s="733"/>
      <c r="K68" s="733"/>
      <c r="L68" s="733"/>
      <c r="M68" s="733"/>
      <c r="N68" s="930"/>
      <c r="O68" s="930"/>
      <c r="P68" s="930"/>
      <c r="Q68" s="1002"/>
      <c r="R68" s="1002"/>
      <c r="S68" s="1003"/>
      <c r="T68" s="1004"/>
      <c r="U68" s="1002"/>
      <c r="V68" s="835"/>
      <c r="W68" s="994"/>
      <c r="X68" s="995"/>
      <c r="Z68" s="788">
        <f aca="true" t="shared" si="21" ref="Z68:Z74">IF(V68&gt;(H68+M68+N68),"ERRORE","")</f>
      </c>
      <c r="AA68" s="788">
        <f aca="true" t="shared" si="22" ref="AA68:AA74">IF(W68&gt;(H68+P68+Q68),"ERRORE","")</f>
      </c>
      <c r="AB68" s="788">
        <f aca="true" t="shared" si="23" ref="AB68:AB74">IF(X68&gt;(H68+S68+T68),"ERRORE","")</f>
      </c>
    </row>
    <row r="69" spans="1:28" s="758" customFormat="1" ht="27.75" customHeight="1" hidden="1">
      <c r="A69" s="953">
        <v>1</v>
      </c>
      <c r="B69" s="954">
        <v>9</v>
      </c>
      <c r="C69" s="954"/>
      <c r="D69" s="923"/>
      <c r="E69" s="955"/>
      <c r="F69" s="923"/>
      <c r="G69" s="993"/>
      <c r="H69" s="726"/>
      <c r="I69" s="733"/>
      <c r="J69" s="733"/>
      <c r="K69" s="733"/>
      <c r="L69" s="733"/>
      <c r="M69" s="733"/>
      <c r="N69" s="930"/>
      <c r="O69" s="930"/>
      <c r="P69" s="930"/>
      <c r="Q69" s="918"/>
      <c r="R69" s="918"/>
      <c r="S69" s="918"/>
      <c r="T69" s="918"/>
      <c r="U69" s="932"/>
      <c r="V69" s="835"/>
      <c r="W69" s="994"/>
      <c r="X69" s="995"/>
      <c r="Z69" s="788">
        <f t="shared" si="21"/>
      </c>
      <c r="AA69" s="788">
        <f t="shared" si="22"/>
      </c>
      <c r="AB69" s="788">
        <f t="shared" si="23"/>
      </c>
    </row>
    <row r="70" spans="1:28" s="758" customFormat="1" ht="27.75" customHeight="1" hidden="1">
      <c r="A70" s="1005">
        <v>1</v>
      </c>
      <c r="B70" s="972">
        <v>9</v>
      </c>
      <c r="C70" s="972"/>
      <c r="D70" s="973"/>
      <c r="E70" s="979"/>
      <c r="F70" s="973"/>
      <c r="G70" s="1006"/>
      <c r="H70" s="735"/>
      <c r="I70" s="735"/>
      <c r="J70" s="735"/>
      <c r="K70" s="735"/>
      <c r="L70" s="735"/>
      <c r="M70" s="735"/>
      <c r="N70" s="1007"/>
      <c r="O70" s="1007"/>
      <c r="P70" s="1007"/>
      <c r="Q70" s="1007"/>
      <c r="R70" s="1007"/>
      <c r="S70" s="735"/>
      <c r="T70" s="1008"/>
      <c r="U70" s="1007"/>
      <c r="V70" s="836"/>
      <c r="W70" s="1009"/>
      <c r="X70" s="1010"/>
      <c r="Z70" s="788">
        <f t="shared" si="21"/>
      </c>
      <c r="AA70" s="788">
        <f t="shared" si="22"/>
      </c>
      <c r="AB70" s="788">
        <f t="shared" si="23"/>
      </c>
    </row>
    <row r="71" spans="1:28" s="853" customFormat="1" ht="29.25" customHeight="1">
      <c r="A71" s="1335" t="s">
        <v>309</v>
      </c>
      <c r="B71" s="1335"/>
      <c r="C71" s="1335"/>
      <c r="D71" s="1335"/>
      <c r="E71" s="1335"/>
      <c r="F71" s="1335"/>
      <c r="G71" s="1335"/>
      <c r="H71" s="732">
        <f>SUM(H68:H70)</f>
        <v>0</v>
      </c>
      <c r="I71" s="732">
        <f aca="true" t="shared" si="24" ref="I71:O71">SUM(I68:I70)</f>
        <v>0</v>
      </c>
      <c r="J71" s="732">
        <f t="shared" si="24"/>
        <v>0</v>
      </c>
      <c r="K71" s="732">
        <f t="shared" si="24"/>
        <v>0</v>
      </c>
      <c r="L71" s="732">
        <f t="shared" si="24"/>
        <v>0</v>
      </c>
      <c r="M71" s="732">
        <f t="shared" si="24"/>
        <v>0</v>
      </c>
      <c r="N71" s="732">
        <f t="shared" si="24"/>
        <v>0</v>
      </c>
      <c r="O71" s="732">
        <f t="shared" si="24"/>
        <v>0</v>
      </c>
      <c r="P71" s="732">
        <f aca="true" t="shared" si="25" ref="P71:X71">SUM(P68:P70)</f>
        <v>0</v>
      </c>
      <c r="Q71" s="732">
        <f t="shared" si="25"/>
        <v>0</v>
      </c>
      <c r="R71" s="732">
        <f t="shared" si="25"/>
        <v>0</v>
      </c>
      <c r="S71" s="732">
        <f t="shared" si="25"/>
        <v>0</v>
      </c>
      <c r="T71" s="732">
        <f t="shared" si="25"/>
        <v>0</v>
      </c>
      <c r="U71" s="767">
        <f t="shared" si="25"/>
        <v>0</v>
      </c>
      <c r="V71" s="768">
        <f t="shared" si="25"/>
        <v>0</v>
      </c>
      <c r="W71" s="1000">
        <f t="shared" si="25"/>
        <v>0</v>
      </c>
      <c r="X71" s="732">
        <f t="shared" si="25"/>
        <v>0</v>
      </c>
      <c r="Y71" s="978"/>
      <c r="Z71" s="788">
        <f t="shared" si="21"/>
      </c>
      <c r="AA71" s="788">
        <f t="shared" si="22"/>
      </c>
      <c r="AB71" s="788">
        <f t="shared" si="23"/>
      </c>
    </row>
    <row r="72" spans="1:28" s="758" customFormat="1" ht="27.75" customHeight="1">
      <c r="A72" s="1023">
        <v>1</v>
      </c>
      <c r="B72" s="1025">
        <v>10</v>
      </c>
      <c r="C72" s="1025">
        <v>1</v>
      </c>
      <c r="D72" s="1306">
        <v>140</v>
      </c>
      <c r="E72" s="1025">
        <v>103</v>
      </c>
      <c r="F72" s="1027" t="s">
        <v>118</v>
      </c>
      <c r="G72" s="1218" t="s">
        <v>242</v>
      </c>
      <c r="H72" s="1003">
        <v>2080</v>
      </c>
      <c r="I72" s="1003"/>
      <c r="J72" s="1003"/>
      <c r="K72" s="1003">
        <f>1000+1000</f>
        <v>2000</v>
      </c>
      <c r="L72" s="1003"/>
      <c r="M72" s="1003">
        <v>2000</v>
      </c>
      <c r="N72" s="1002"/>
      <c r="O72" s="1002"/>
      <c r="P72" s="1002">
        <v>2000</v>
      </c>
      <c r="Q72" s="1002"/>
      <c r="R72" s="1002"/>
      <c r="S72" s="1003">
        <v>2000</v>
      </c>
      <c r="T72" s="1004"/>
      <c r="U72" s="1002"/>
      <c r="V72" s="1305">
        <f>H72+M72</f>
        <v>4080</v>
      </c>
      <c r="W72" s="786"/>
      <c r="X72" s="787"/>
      <c r="Z72" s="788">
        <f t="shared" si="21"/>
      </c>
      <c r="AA72" s="788">
        <f t="shared" si="22"/>
      </c>
      <c r="AB72" s="788">
        <f t="shared" si="23"/>
      </c>
    </row>
    <row r="73" spans="1:28" s="758" customFormat="1" ht="27.75" customHeight="1">
      <c r="A73" s="960">
        <v>1</v>
      </c>
      <c r="B73" s="961">
        <v>10</v>
      </c>
      <c r="C73" s="961">
        <v>1</v>
      </c>
      <c r="D73" s="828">
        <v>180</v>
      </c>
      <c r="E73" s="961">
        <v>103</v>
      </c>
      <c r="F73" s="924" t="s">
        <v>118</v>
      </c>
      <c r="G73" s="988" t="s">
        <v>490</v>
      </c>
      <c r="H73" s="918">
        <v>5080.71</v>
      </c>
      <c r="I73" s="918"/>
      <c r="J73" s="918"/>
      <c r="K73" s="918">
        <v>7000</v>
      </c>
      <c r="L73" s="918"/>
      <c r="M73" s="918">
        <v>7000</v>
      </c>
      <c r="N73" s="932"/>
      <c r="O73" s="932"/>
      <c r="P73" s="932">
        <v>7000</v>
      </c>
      <c r="Q73" s="932"/>
      <c r="R73" s="932"/>
      <c r="S73" s="918">
        <v>7000</v>
      </c>
      <c r="T73" s="989"/>
      <c r="U73" s="932"/>
      <c r="V73" s="797">
        <f>H73+M73</f>
        <v>12080.71</v>
      </c>
      <c r="W73" s="990"/>
      <c r="X73" s="991"/>
      <c r="Z73" s="788">
        <f t="shared" si="21"/>
      </c>
      <c r="AA73" s="788">
        <f t="shared" si="22"/>
      </c>
      <c r="AB73" s="788">
        <f t="shared" si="23"/>
      </c>
    </row>
    <row r="74" spans="1:28" s="758" customFormat="1" ht="27.75" customHeight="1">
      <c r="A74" s="953">
        <v>1</v>
      </c>
      <c r="B74" s="954">
        <v>10</v>
      </c>
      <c r="C74" s="954">
        <v>1</v>
      </c>
      <c r="D74" s="923">
        <v>384</v>
      </c>
      <c r="E74" s="955">
        <v>101</v>
      </c>
      <c r="F74" s="923" t="s">
        <v>97</v>
      </c>
      <c r="G74" s="993" t="s">
        <v>495</v>
      </c>
      <c r="H74" s="733">
        <v>28396.46</v>
      </c>
      <c r="I74" s="733"/>
      <c r="J74" s="733"/>
      <c r="K74" s="733">
        <v>34500</v>
      </c>
      <c r="L74" s="733"/>
      <c r="M74" s="733">
        <v>34500</v>
      </c>
      <c r="N74" s="930"/>
      <c r="O74" s="930"/>
      <c r="P74" s="930">
        <v>34500</v>
      </c>
      <c r="Q74" s="930"/>
      <c r="R74" s="930"/>
      <c r="S74" s="733">
        <v>34500</v>
      </c>
      <c r="T74" s="999"/>
      <c r="U74" s="930"/>
      <c r="V74" s="834">
        <f aca="true" t="shared" si="26" ref="V74:V81">H74+M74</f>
        <v>62896.46</v>
      </c>
      <c r="W74" s="994"/>
      <c r="X74" s="995"/>
      <c r="Z74" s="788">
        <f t="shared" si="21"/>
      </c>
      <c r="AA74" s="788">
        <f t="shared" si="22"/>
      </c>
      <c r="AB74" s="788">
        <f t="shared" si="23"/>
      </c>
    </row>
    <row r="75" spans="1:28" s="758" customFormat="1" ht="27.75" customHeight="1">
      <c r="A75" s="960">
        <v>1</v>
      </c>
      <c r="B75" s="961">
        <v>10</v>
      </c>
      <c r="C75" s="961">
        <v>1</v>
      </c>
      <c r="D75" s="924">
        <v>385</v>
      </c>
      <c r="E75" s="965">
        <v>103</v>
      </c>
      <c r="F75" s="924" t="s">
        <v>103</v>
      </c>
      <c r="G75" s="959" t="s">
        <v>494</v>
      </c>
      <c r="H75" s="918">
        <v>27.96</v>
      </c>
      <c r="I75" s="918"/>
      <c r="J75" s="918"/>
      <c r="K75" s="918">
        <v>500</v>
      </c>
      <c r="L75" s="918"/>
      <c r="M75" s="918">
        <v>500</v>
      </c>
      <c r="N75" s="932"/>
      <c r="O75" s="932"/>
      <c r="P75" s="932">
        <v>500</v>
      </c>
      <c r="Q75" s="932"/>
      <c r="R75" s="932"/>
      <c r="S75" s="918">
        <v>500</v>
      </c>
      <c r="T75" s="989"/>
      <c r="U75" s="932"/>
      <c r="V75" s="834">
        <f t="shared" si="26"/>
        <v>527.96</v>
      </c>
      <c r="W75" s="990"/>
      <c r="X75" s="991"/>
      <c r="Z75" s="788">
        <f>IF(V75&gt;(H75+M75+N75),"ERRORE","")</f>
      </c>
      <c r="AA75" s="788">
        <f>IF(W75&gt;(H75+P75+Q75),"ERRORE","")</f>
      </c>
      <c r="AB75" s="788">
        <f>IF(X75&gt;(H75+S75+T75),"ERRORE","")</f>
      </c>
    </row>
    <row r="76" spans="1:28" s="773" customFormat="1" ht="27.75" customHeight="1">
      <c r="A76" s="953">
        <v>1</v>
      </c>
      <c r="B76" s="954">
        <v>10</v>
      </c>
      <c r="C76" s="954">
        <v>1</v>
      </c>
      <c r="D76" s="923">
        <v>386</v>
      </c>
      <c r="E76" s="955">
        <v>101</v>
      </c>
      <c r="F76" s="923" t="s">
        <v>119</v>
      </c>
      <c r="G76" s="956" t="s">
        <v>243</v>
      </c>
      <c r="H76" s="728">
        <v>1589.72</v>
      </c>
      <c r="I76" s="728"/>
      <c r="J76" s="728"/>
      <c r="K76" s="728">
        <v>3000</v>
      </c>
      <c r="L76" s="728"/>
      <c r="M76" s="728">
        <v>3000</v>
      </c>
      <c r="N76" s="774"/>
      <c r="O76" s="774"/>
      <c r="P76" s="774">
        <v>3000</v>
      </c>
      <c r="Q76" s="774"/>
      <c r="R76" s="774"/>
      <c r="S76" s="728">
        <v>3000</v>
      </c>
      <c r="T76" s="777"/>
      <c r="U76" s="774"/>
      <c r="V76" s="834">
        <f t="shared" si="26"/>
        <v>4589.72</v>
      </c>
      <c r="W76" s="963"/>
      <c r="X76" s="964"/>
      <c r="Z76" s="788">
        <f t="shared" si="6"/>
      </c>
      <c r="AA76" s="788">
        <f t="shared" si="7"/>
      </c>
      <c r="AB76" s="788">
        <f t="shared" si="8"/>
      </c>
    </row>
    <row r="77" spans="1:28" s="758" customFormat="1" ht="27.75" customHeight="1">
      <c r="A77" s="960">
        <v>1</v>
      </c>
      <c r="B77" s="961">
        <v>10</v>
      </c>
      <c r="C77" s="961">
        <v>1</v>
      </c>
      <c r="D77" s="987">
        <v>388</v>
      </c>
      <c r="E77" s="961">
        <v>101</v>
      </c>
      <c r="F77" s="924" t="s">
        <v>98</v>
      </c>
      <c r="G77" s="988" t="s">
        <v>132</v>
      </c>
      <c r="H77" s="918">
        <v>7139.31</v>
      </c>
      <c r="I77" s="918"/>
      <c r="J77" s="918"/>
      <c r="K77" s="918">
        <v>8500</v>
      </c>
      <c r="L77" s="918"/>
      <c r="M77" s="918">
        <v>8500</v>
      </c>
      <c r="N77" s="932"/>
      <c r="O77" s="932"/>
      <c r="P77" s="932">
        <v>8500</v>
      </c>
      <c r="Q77" s="932"/>
      <c r="R77" s="932"/>
      <c r="S77" s="918">
        <v>8500</v>
      </c>
      <c r="T77" s="989"/>
      <c r="U77" s="932"/>
      <c r="V77" s="834">
        <f t="shared" si="26"/>
        <v>15639.310000000001</v>
      </c>
      <c r="W77" s="990"/>
      <c r="X77" s="991"/>
      <c r="Z77" s="788">
        <f t="shared" si="6"/>
      </c>
      <c r="AA77" s="788">
        <f t="shared" si="7"/>
      </c>
      <c r="AB77" s="788">
        <f t="shared" si="8"/>
      </c>
    </row>
    <row r="78" spans="1:28" s="773" customFormat="1" ht="27.75" customHeight="1">
      <c r="A78" s="960">
        <v>1</v>
      </c>
      <c r="B78" s="961">
        <v>10</v>
      </c>
      <c r="C78" s="961">
        <v>1</v>
      </c>
      <c r="D78" s="828">
        <v>389</v>
      </c>
      <c r="E78" s="961">
        <v>101</v>
      </c>
      <c r="F78" s="924" t="s">
        <v>984</v>
      </c>
      <c r="G78" s="966" t="s">
        <v>894</v>
      </c>
      <c r="H78" s="728">
        <v>0</v>
      </c>
      <c r="I78" s="728"/>
      <c r="J78" s="728"/>
      <c r="K78" s="727">
        <v>727</v>
      </c>
      <c r="L78" s="727"/>
      <c r="M78" s="728">
        <v>727</v>
      </c>
      <c r="N78" s="774"/>
      <c r="O78" s="774"/>
      <c r="P78" s="774">
        <v>727</v>
      </c>
      <c r="Q78" s="774"/>
      <c r="R78" s="774"/>
      <c r="S78" s="728">
        <v>727</v>
      </c>
      <c r="T78" s="777"/>
      <c r="U78" s="774"/>
      <c r="V78" s="797">
        <f t="shared" si="26"/>
        <v>727</v>
      </c>
      <c r="W78" s="963"/>
      <c r="X78" s="964"/>
      <c r="Z78" s="788">
        <f>IF(V78&gt;(H78+M78+N78),"ERRORE","")</f>
      </c>
      <c r="AA78" s="788">
        <f t="shared" si="7"/>
      </c>
      <c r="AB78" s="788">
        <f t="shared" si="8"/>
      </c>
    </row>
    <row r="79" spans="1:28" s="773" customFormat="1" ht="27.75" customHeight="1">
      <c r="A79" s="960">
        <v>1</v>
      </c>
      <c r="B79" s="961">
        <v>10</v>
      </c>
      <c r="C79" s="961">
        <v>1</v>
      </c>
      <c r="D79" s="828">
        <v>392</v>
      </c>
      <c r="E79" s="961">
        <v>101</v>
      </c>
      <c r="F79" s="924" t="s">
        <v>985</v>
      </c>
      <c r="G79" s="966" t="s">
        <v>895</v>
      </c>
      <c r="H79" s="728">
        <v>0</v>
      </c>
      <c r="I79" s="728"/>
      <c r="J79" s="728"/>
      <c r="K79" s="727">
        <v>3052</v>
      </c>
      <c r="L79" s="727"/>
      <c r="M79" s="728">
        <v>3052</v>
      </c>
      <c r="N79" s="774"/>
      <c r="O79" s="774"/>
      <c r="P79" s="774">
        <v>3052</v>
      </c>
      <c r="Q79" s="774"/>
      <c r="R79" s="774"/>
      <c r="S79" s="728">
        <v>3052</v>
      </c>
      <c r="T79" s="777"/>
      <c r="U79" s="774"/>
      <c r="V79" s="797">
        <f t="shared" si="26"/>
        <v>3052</v>
      </c>
      <c r="W79" s="963"/>
      <c r="X79" s="964"/>
      <c r="Z79" s="788">
        <f>IF(V79&gt;(H79+M79+N79),"ERRORE","")</f>
      </c>
      <c r="AA79" s="788">
        <f t="shared" si="7"/>
      </c>
      <c r="AB79" s="788">
        <f t="shared" si="8"/>
      </c>
    </row>
    <row r="80" spans="1:28" s="773" customFormat="1" ht="27.75" customHeight="1">
      <c r="A80" s="960">
        <v>1</v>
      </c>
      <c r="B80" s="961">
        <v>10</v>
      </c>
      <c r="C80" s="961">
        <v>1</v>
      </c>
      <c r="D80" s="828">
        <v>395</v>
      </c>
      <c r="E80" s="961">
        <v>102</v>
      </c>
      <c r="F80" s="924" t="s">
        <v>105</v>
      </c>
      <c r="G80" s="959" t="s">
        <v>133</v>
      </c>
      <c r="H80" s="728">
        <v>2475.66</v>
      </c>
      <c r="I80" s="728"/>
      <c r="J80" s="728"/>
      <c r="K80" s="728">
        <v>2950</v>
      </c>
      <c r="L80" s="728"/>
      <c r="M80" s="728">
        <v>2950</v>
      </c>
      <c r="N80" s="774"/>
      <c r="O80" s="774"/>
      <c r="P80" s="774">
        <v>2950</v>
      </c>
      <c r="Q80" s="774"/>
      <c r="R80" s="774"/>
      <c r="S80" s="728">
        <v>2950</v>
      </c>
      <c r="T80" s="777"/>
      <c r="U80" s="774"/>
      <c r="V80" s="797">
        <f t="shared" si="26"/>
        <v>5425.66</v>
      </c>
      <c r="W80" s="963"/>
      <c r="X80" s="964"/>
      <c r="Z80" s="788">
        <f t="shared" si="6"/>
      </c>
      <c r="AA80" s="788">
        <f t="shared" si="7"/>
      </c>
      <c r="AB80" s="788">
        <f t="shared" si="8"/>
      </c>
    </row>
    <row r="81" spans="1:28" s="773" customFormat="1" ht="27.75" customHeight="1">
      <c r="A81" s="960">
        <v>1</v>
      </c>
      <c r="B81" s="961">
        <v>10</v>
      </c>
      <c r="C81" s="961">
        <v>1</v>
      </c>
      <c r="D81" s="828">
        <v>396</v>
      </c>
      <c r="E81" s="961">
        <v>101</v>
      </c>
      <c r="F81" s="924" t="s">
        <v>1001</v>
      </c>
      <c r="G81" s="966" t="s">
        <v>896</v>
      </c>
      <c r="H81" s="728">
        <v>0</v>
      </c>
      <c r="I81" s="728"/>
      <c r="J81" s="728"/>
      <c r="K81" s="727">
        <v>260</v>
      </c>
      <c r="L81" s="727"/>
      <c r="M81" s="728">
        <v>260</v>
      </c>
      <c r="N81" s="774"/>
      <c r="O81" s="774"/>
      <c r="P81" s="774">
        <v>260</v>
      </c>
      <c r="Q81" s="774"/>
      <c r="R81" s="774"/>
      <c r="S81" s="728">
        <v>260</v>
      </c>
      <c r="T81" s="777"/>
      <c r="U81" s="774"/>
      <c r="V81" s="797">
        <f t="shared" si="26"/>
        <v>260</v>
      </c>
      <c r="W81" s="963"/>
      <c r="X81" s="964"/>
      <c r="Z81" s="788">
        <f>IF(V81&gt;(H81+M81+N81),"ERRORE","")</f>
      </c>
      <c r="AA81" s="788">
        <f t="shared" si="7"/>
      </c>
      <c r="AB81" s="788">
        <f t="shared" si="8"/>
      </c>
    </row>
    <row r="82" spans="1:28" s="853" customFormat="1" ht="21" customHeight="1">
      <c r="A82" s="1339" t="s">
        <v>42</v>
      </c>
      <c r="B82" s="1340"/>
      <c r="C82" s="1340"/>
      <c r="D82" s="1340"/>
      <c r="E82" s="1340"/>
      <c r="F82" s="1340"/>
      <c r="G82" s="1341"/>
      <c r="H82" s="732">
        <f aca="true" t="shared" si="27" ref="H82:X82">SUM(H72:H81)</f>
        <v>46789.81999999999</v>
      </c>
      <c r="I82" s="732">
        <f t="shared" si="27"/>
        <v>0</v>
      </c>
      <c r="J82" s="732">
        <f t="shared" si="27"/>
        <v>0</v>
      </c>
      <c r="K82" s="730">
        <f t="shared" si="27"/>
        <v>62489</v>
      </c>
      <c r="L82" s="730">
        <f t="shared" si="27"/>
        <v>0</v>
      </c>
      <c r="M82" s="730">
        <f t="shared" si="27"/>
        <v>62489</v>
      </c>
      <c r="N82" s="730">
        <f t="shared" si="27"/>
        <v>0</v>
      </c>
      <c r="O82" s="730">
        <f t="shared" si="27"/>
        <v>0</v>
      </c>
      <c r="P82" s="730">
        <f t="shared" si="27"/>
        <v>62489</v>
      </c>
      <c r="Q82" s="975">
        <f t="shared" si="27"/>
        <v>0</v>
      </c>
      <c r="R82" s="975">
        <f t="shared" si="27"/>
        <v>0</v>
      </c>
      <c r="S82" s="975">
        <f t="shared" si="27"/>
        <v>62489</v>
      </c>
      <c r="T82" s="975">
        <f t="shared" si="27"/>
        <v>0</v>
      </c>
      <c r="U82" s="975">
        <f t="shared" si="27"/>
        <v>0</v>
      </c>
      <c r="V82" s="833">
        <f t="shared" si="27"/>
        <v>109278.82</v>
      </c>
      <c r="W82" s="986">
        <f t="shared" si="27"/>
        <v>0</v>
      </c>
      <c r="X82" s="977">
        <f t="shared" si="27"/>
        <v>0</v>
      </c>
      <c r="Z82" s="788">
        <f t="shared" si="6"/>
      </c>
      <c r="AA82" s="788">
        <f t="shared" si="7"/>
      </c>
      <c r="AB82" s="788">
        <f t="shared" si="8"/>
      </c>
    </row>
    <row r="83" spans="1:28" s="773" customFormat="1" ht="27.75" customHeight="1">
      <c r="A83" s="960">
        <v>1</v>
      </c>
      <c r="B83" s="961">
        <v>11</v>
      </c>
      <c r="C83" s="961">
        <v>1</v>
      </c>
      <c r="D83" s="828">
        <v>35</v>
      </c>
      <c r="E83" s="961">
        <v>103</v>
      </c>
      <c r="F83" s="924" t="s">
        <v>112</v>
      </c>
      <c r="G83" s="959" t="s">
        <v>166</v>
      </c>
      <c r="H83" s="728">
        <v>27543.54</v>
      </c>
      <c r="I83" s="728"/>
      <c r="J83" s="728"/>
      <c r="K83" s="727">
        <v>15000</v>
      </c>
      <c r="L83" s="727">
        <v>30495.09</v>
      </c>
      <c r="M83" s="728">
        <v>8000</v>
      </c>
      <c r="N83" s="774"/>
      <c r="O83" s="774"/>
      <c r="P83" s="774">
        <v>6000</v>
      </c>
      <c r="Q83" s="774"/>
      <c r="R83" s="774"/>
      <c r="S83" s="728">
        <v>6000</v>
      </c>
      <c r="T83" s="777"/>
      <c r="U83" s="779"/>
      <c r="V83" s="797">
        <f>H83+M83</f>
        <v>35543.54</v>
      </c>
      <c r="W83" s="963"/>
      <c r="X83" s="964"/>
      <c r="Z83" s="788">
        <f t="shared" si="6"/>
      </c>
      <c r="AA83" s="788">
        <f t="shared" si="7"/>
      </c>
      <c r="AB83" s="788">
        <f t="shared" si="8"/>
      </c>
    </row>
    <row r="84" spans="1:28" s="773" customFormat="1" ht="27.75" customHeight="1">
      <c r="A84" s="960">
        <v>1</v>
      </c>
      <c r="B84" s="961">
        <v>11</v>
      </c>
      <c r="C84" s="961">
        <v>1</v>
      </c>
      <c r="D84" s="828">
        <v>151</v>
      </c>
      <c r="E84" s="961">
        <v>103</v>
      </c>
      <c r="F84" s="924" t="s">
        <v>99</v>
      </c>
      <c r="G84" s="959" t="s">
        <v>491</v>
      </c>
      <c r="H84" s="728">
        <v>3566.63</v>
      </c>
      <c r="I84" s="728"/>
      <c r="J84" s="728"/>
      <c r="K84" s="727">
        <v>15000</v>
      </c>
      <c r="L84" s="727"/>
      <c r="M84" s="728">
        <v>10000</v>
      </c>
      <c r="N84" s="774"/>
      <c r="O84" s="774"/>
      <c r="P84" s="774">
        <v>10000</v>
      </c>
      <c r="Q84" s="774"/>
      <c r="R84" s="774"/>
      <c r="S84" s="728">
        <v>10000</v>
      </c>
      <c r="T84" s="777"/>
      <c r="U84" s="774"/>
      <c r="V84" s="797">
        <f>H84+M84</f>
        <v>13566.630000000001</v>
      </c>
      <c r="W84" s="963"/>
      <c r="X84" s="964"/>
      <c r="Z84" s="788">
        <f t="shared" si="6"/>
      </c>
      <c r="AA84" s="788">
        <f t="shared" si="7"/>
      </c>
      <c r="AB84" s="788">
        <f t="shared" si="8"/>
      </c>
    </row>
    <row r="85" spans="1:28" s="773" customFormat="1" ht="27.75" customHeight="1">
      <c r="A85" s="960">
        <v>1</v>
      </c>
      <c r="B85" s="961">
        <v>11</v>
      </c>
      <c r="C85" s="961">
        <v>1</v>
      </c>
      <c r="D85" s="828" t="s">
        <v>909</v>
      </c>
      <c r="E85" s="961">
        <v>103</v>
      </c>
      <c r="F85" s="924" t="s">
        <v>99</v>
      </c>
      <c r="G85" s="966" t="s">
        <v>910</v>
      </c>
      <c r="H85" s="728">
        <v>3050</v>
      </c>
      <c r="I85" s="728"/>
      <c r="J85" s="728"/>
      <c r="K85" s="727">
        <v>4270</v>
      </c>
      <c r="L85" s="727"/>
      <c r="M85" s="728">
        <v>4500</v>
      </c>
      <c r="N85" s="774"/>
      <c r="O85" s="774"/>
      <c r="P85" s="774">
        <v>4500</v>
      </c>
      <c r="Q85" s="774"/>
      <c r="R85" s="774"/>
      <c r="S85" s="728">
        <v>4500</v>
      </c>
      <c r="T85" s="777"/>
      <c r="U85" s="774"/>
      <c r="V85" s="797">
        <f aca="true" t="shared" si="28" ref="V85:V92">H85+M85</f>
        <v>7550</v>
      </c>
      <c r="W85" s="963"/>
      <c r="X85" s="964"/>
      <c r="Z85" s="788">
        <f>IF(V85&gt;(H85+M85+N85),"ERRORE","")</f>
      </c>
      <c r="AA85" s="788">
        <f>IF(W85&gt;(H85+P85+Q85),"ERRORE","")</f>
      </c>
      <c r="AB85" s="788">
        <f>IF(X85&gt;(H85+S85+T85),"ERRORE","")</f>
      </c>
    </row>
    <row r="86" spans="1:28" s="773" customFormat="1" ht="27.75" customHeight="1">
      <c r="A86" s="960">
        <v>1</v>
      </c>
      <c r="B86" s="961">
        <v>11</v>
      </c>
      <c r="C86" s="961">
        <v>1</v>
      </c>
      <c r="D86" s="828">
        <v>152</v>
      </c>
      <c r="E86" s="961">
        <v>103</v>
      </c>
      <c r="F86" s="924" t="s">
        <v>111</v>
      </c>
      <c r="G86" s="959" t="s">
        <v>492</v>
      </c>
      <c r="H86" s="728">
        <v>12087.31</v>
      </c>
      <c r="I86" s="728"/>
      <c r="J86" s="728"/>
      <c r="K86" s="727">
        <v>17700</v>
      </c>
      <c r="L86" s="727"/>
      <c r="M86" s="728">
        <v>17700</v>
      </c>
      <c r="N86" s="774"/>
      <c r="O86" s="774"/>
      <c r="P86" s="774">
        <v>17700</v>
      </c>
      <c r="Q86" s="774"/>
      <c r="R86" s="774"/>
      <c r="S86" s="728">
        <v>17700</v>
      </c>
      <c r="T86" s="777"/>
      <c r="U86" s="774"/>
      <c r="V86" s="797">
        <f t="shared" si="28"/>
        <v>29787.309999999998</v>
      </c>
      <c r="W86" s="963"/>
      <c r="X86" s="964"/>
      <c r="Z86" s="788">
        <f t="shared" si="6"/>
      </c>
      <c r="AA86" s="788">
        <f t="shared" si="7"/>
      </c>
      <c r="AB86" s="788">
        <f t="shared" si="8"/>
      </c>
    </row>
    <row r="87" spans="1:28" s="773" customFormat="1" ht="27.75" customHeight="1">
      <c r="A87" s="960">
        <v>1</v>
      </c>
      <c r="B87" s="961">
        <v>11</v>
      </c>
      <c r="C87" s="961">
        <v>1</v>
      </c>
      <c r="D87" s="828">
        <v>155</v>
      </c>
      <c r="E87" s="961">
        <v>103</v>
      </c>
      <c r="F87" s="924" t="s">
        <v>111</v>
      </c>
      <c r="G87" s="966" t="s">
        <v>911</v>
      </c>
      <c r="H87" s="728">
        <v>986.6</v>
      </c>
      <c r="I87" s="728"/>
      <c r="J87" s="728"/>
      <c r="K87" s="727">
        <v>12928.66</v>
      </c>
      <c r="L87" s="727"/>
      <c r="M87" s="728">
        <v>0</v>
      </c>
      <c r="N87" s="774"/>
      <c r="O87" s="774"/>
      <c r="P87" s="774">
        <v>0</v>
      </c>
      <c r="Q87" s="774"/>
      <c r="R87" s="774"/>
      <c r="S87" s="728">
        <v>0</v>
      </c>
      <c r="T87" s="777"/>
      <c r="U87" s="774"/>
      <c r="V87" s="778">
        <f t="shared" si="28"/>
        <v>986.6</v>
      </c>
      <c r="W87" s="963"/>
      <c r="X87" s="964"/>
      <c r="Z87" s="788">
        <f>IF(V87&gt;(H87+M87+N87),"ERRORE","")</f>
      </c>
      <c r="AA87" s="788">
        <f>IF(W87&gt;(H87+P87+Q87),"ERRORE","")</f>
      </c>
      <c r="AB87" s="788">
        <f>IF(X87&gt;(H87+S87+T87),"ERRORE","")</f>
      </c>
    </row>
    <row r="88" spans="1:28" s="773" customFormat="1" ht="27.75" customHeight="1">
      <c r="A88" s="960">
        <v>1</v>
      </c>
      <c r="B88" s="961">
        <v>11</v>
      </c>
      <c r="C88" s="961">
        <v>1</v>
      </c>
      <c r="D88" s="828">
        <v>160</v>
      </c>
      <c r="E88" s="961">
        <v>103</v>
      </c>
      <c r="F88" s="924" t="s">
        <v>444</v>
      </c>
      <c r="G88" s="959" t="s">
        <v>493</v>
      </c>
      <c r="H88" s="728">
        <v>507</v>
      </c>
      <c r="I88" s="728"/>
      <c r="J88" s="728"/>
      <c r="K88" s="727">
        <v>1400</v>
      </c>
      <c r="L88" s="727"/>
      <c r="M88" s="728">
        <v>1400</v>
      </c>
      <c r="N88" s="774"/>
      <c r="O88" s="774"/>
      <c r="P88" s="774">
        <v>1400</v>
      </c>
      <c r="Q88" s="774"/>
      <c r="R88" s="774"/>
      <c r="S88" s="728">
        <v>1400</v>
      </c>
      <c r="T88" s="777"/>
      <c r="U88" s="774"/>
      <c r="V88" s="797">
        <f t="shared" si="28"/>
        <v>1907</v>
      </c>
      <c r="W88" s="963"/>
      <c r="X88" s="964"/>
      <c r="Z88" s="788">
        <f t="shared" si="6"/>
      </c>
      <c r="AA88" s="788">
        <f t="shared" si="7"/>
      </c>
      <c r="AB88" s="788">
        <f t="shared" si="8"/>
      </c>
    </row>
    <row r="89" spans="1:28" s="773" customFormat="1" ht="27.75" customHeight="1">
      <c r="A89" s="782">
        <v>1</v>
      </c>
      <c r="B89" s="783">
        <v>11</v>
      </c>
      <c r="C89" s="783">
        <v>1</v>
      </c>
      <c r="D89" s="827">
        <v>190</v>
      </c>
      <c r="E89" s="783">
        <v>110</v>
      </c>
      <c r="F89" s="784" t="s">
        <v>121</v>
      </c>
      <c r="G89" s="980" t="s">
        <v>244</v>
      </c>
      <c r="H89" s="729">
        <v>0</v>
      </c>
      <c r="I89" s="729"/>
      <c r="J89" s="729"/>
      <c r="K89" s="729">
        <v>36000</v>
      </c>
      <c r="L89" s="729"/>
      <c r="M89" s="729">
        <v>34000</v>
      </c>
      <c r="N89" s="775"/>
      <c r="O89" s="775"/>
      <c r="P89" s="775">
        <v>34000</v>
      </c>
      <c r="Q89" s="798"/>
      <c r="R89" s="775"/>
      <c r="S89" s="729">
        <v>34000</v>
      </c>
      <c r="T89" s="799"/>
      <c r="U89" s="798"/>
      <c r="V89" s="778">
        <f t="shared" si="28"/>
        <v>34000</v>
      </c>
      <c r="W89" s="968"/>
      <c r="X89" s="969"/>
      <c r="Z89" s="788">
        <f>IF(V89&gt;(H89+M89+N89),"ERRORE","")</f>
      </c>
      <c r="AA89" s="788">
        <f>IF(W89&gt;(H89+P89+Q89),"ERRORE","")</f>
      </c>
      <c r="AB89" s="788">
        <f>IF(X89&gt;(H89+S89+T89),"ERRORE","")</f>
      </c>
    </row>
    <row r="90" spans="1:28" s="773" customFormat="1" ht="27.75" customHeight="1">
      <c r="A90" s="960">
        <v>1</v>
      </c>
      <c r="B90" s="961">
        <v>11</v>
      </c>
      <c r="C90" s="961">
        <v>1</v>
      </c>
      <c r="D90" s="828">
        <v>680</v>
      </c>
      <c r="E90" s="961">
        <v>103</v>
      </c>
      <c r="F90" s="924" t="s">
        <v>99</v>
      </c>
      <c r="G90" s="959" t="s">
        <v>496</v>
      </c>
      <c r="H90" s="728">
        <v>346.26</v>
      </c>
      <c r="I90" s="728"/>
      <c r="J90" s="728"/>
      <c r="K90" s="727">
        <v>5000</v>
      </c>
      <c r="L90" s="727"/>
      <c r="M90" s="728">
        <v>5000</v>
      </c>
      <c r="N90" s="774"/>
      <c r="O90" s="774"/>
      <c r="P90" s="774">
        <v>5000</v>
      </c>
      <c r="Q90" s="774"/>
      <c r="R90" s="774"/>
      <c r="S90" s="728">
        <v>5000</v>
      </c>
      <c r="T90" s="777"/>
      <c r="U90" s="774"/>
      <c r="V90" s="797">
        <f t="shared" si="28"/>
        <v>5346.26</v>
      </c>
      <c r="W90" s="963"/>
      <c r="X90" s="964"/>
      <c r="Z90" s="788">
        <f t="shared" si="6"/>
      </c>
      <c r="AA90" s="788">
        <f t="shared" si="7"/>
      </c>
      <c r="AB90" s="788">
        <f t="shared" si="8"/>
      </c>
    </row>
    <row r="91" spans="1:28" s="773" customFormat="1" ht="27.75" customHeight="1">
      <c r="A91" s="960">
        <v>1</v>
      </c>
      <c r="B91" s="961">
        <v>11</v>
      </c>
      <c r="C91" s="961">
        <v>1</v>
      </c>
      <c r="D91" s="924" t="s">
        <v>497</v>
      </c>
      <c r="E91" s="965">
        <v>102</v>
      </c>
      <c r="F91" s="924" t="s">
        <v>120</v>
      </c>
      <c r="G91" s="959" t="s">
        <v>498</v>
      </c>
      <c r="H91" s="728">
        <v>4254.73</v>
      </c>
      <c r="I91" s="728"/>
      <c r="J91" s="728"/>
      <c r="K91" s="727">
        <v>1000</v>
      </c>
      <c r="L91" s="727"/>
      <c r="M91" s="728">
        <v>1000</v>
      </c>
      <c r="N91" s="774"/>
      <c r="O91" s="774"/>
      <c r="P91" s="774">
        <v>1000</v>
      </c>
      <c r="Q91" s="774"/>
      <c r="R91" s="774"/>
      <c r="S91" s="728">
        <v>1000</v>
      </c>
      <c r="T91" s="777"/>
      <c r="U91" s="774"/>
      <c r="V91" s="797">
        <f t="shared" si="28"/>
        <v>5254.73</v>
      </c>
      <c r="W91" s="963"/>
      <c r="X91" s="964"/>
      <c r="Z91" s="788">
        <f t="shared" si="6"/>
      </c>
      <c r="AA91" s="788">
        <f t="shared" si="7"/>
      </c>
      <c r="AB91" s="788">
        <f t="shared" si="8"/>
      </c>
    </row>
    <row r="92" spans="1:28" s="773" customFormat="1" ht="27.75" customHeight="1">
      <c r="A92" s="960">
        <v>1</v>
      </c>
      <c r="B92" s="961">
        <v>11</v>
      </c>
      <c r="C92" s="961">
        <v>1</v>
      </c>
      <c r="D92" s="924" t="s">
        <v>499</v>
      </c>
      <c r="E92" s="965">
        <v>103</v>
      </c>
      <c r="F92" s="924" t="s">
        <v>110</v>
      </c>
      <c r="G92" s="959" t="s">
        <v>500</v>
      </c>
      <c r="H92" s="728">
        <v>1001.42</v>
      </c>
      <c r="I92" s="728"/>
      <c r="J92" s="728"/>
      <c r="K92" s="727">
        <v>2000</v>
      </c>
      <c r="L92" s="727"/>
      <c r="M92" s="728">
        <v>2000</v>
      </c>
      <c r="N92" s="774"/>
      <c r="O92" s="774"/>
      <c r="P92" s="774">
        <v>2000</v>
      </c>
      <c r="Q92" s="774"/>
      <c r="R92" s="774"/>
      <c r="S92" s="728">
        <v>2000</v>
      </c>
      <c r="T92" s="777"/>
      <c r="U92" s="774"/>
      <c r="V92" s="797">
        <f t="shared" si="28"/>
        <v>3001.42</v>
      </c>
      <c r="W92" s="963"/>
      <c r="X92" s="964"/>
      <c r="Z92" s="788">
        <f t="shared" si="6"/>
      </c>
      <c r="AA92" s="788">
        <f t="shared" si="7"/>
      </c>
      <c r="AB92" s="788">
        <f t="shared" si="8"/>
      </c>
    </row>
    <row r="93" spans="1:28" s="853" customFormat="1" ht="21" customHeight="1" thickBot="1">
      <c r="A93" s="1348" t="s">
        <v>43</v>
      </c>
      <c r="B93" s="1349"/>
      <c r="C93" s="1349"/>
      <c r="D93" s="1349"/>
      <c r="E93" s="1349"/>
      <c r="F93" s="1349"/>
      <c r="G93" s="1350"/>
      <c r="H93" s="1011">
        <f aca="true" t="shared" si="29" ref="H93:X93">SUM(H83:H92)</f>
        <v>53343.48999999999</v>
      </c>
      <c r="I93" s="1011">
        <f t="shared" si="29"/>
        <v>0</v>
      </c>
      <c r="J93" s="1011">
        <f t="shared" si="29"/>
        <v>0</v>
      </c>
      <c r="K93" s="736">
        <f t="shared" si="29"/>
        <v>110298.66</v>
      </c>
      <c r="L93" s="736">
        <f t="shared" si="29"/>
        <v>30495.09</v>
      </c>
      <c r="M93" s="736">
        <f t="shared" si="29"/>
        <v>83600</v>
      </c>
      <c r="N93" s="736">
        <f t="shared" si="29"/>
        <v>0</v>
      </c>
      <c r="O93" s="736">
        <f t="shared" si="29"/>
        <v>0</v>
      </c>
      <c r="P93" s="736">
        <f t="shared" si="29"/>
        <v>81600</v>
      </c>
      <c r="Q93" s="1012">
        <f t="shared" si="29"/>
        <v>0</v>
      </c>
      <c r="R93" s="1012">
        <f t="shared" si="29"/>
        <v>0</v>
      </c>
      <c r="S93" s="1012">
        <f t="shared" si="29"/>
        <v>81600</v>
      </c>
      <c r="T93" s="1012">
        <f t="shared" si="29"/>
        <v>0</v>
      </c>
      <c r="U93" s="1012">
        <f t="shared" si="29"/>
        <v>0</v>
      </c>
      <c r="V93" s="837">
        <f t="shared" si="29"/>
        <v>136943.49000000002</v>
      </c>
      <c r="W93" s="1013">
        <f t="shared" si="29"/>
        <v>0</v>
      </c>
      <c r="X93" s="1014">
        <f t="shared" si="29"/>
        <v>0</v>
      </c>
      <c r="Z93" s="788">
        <f t="shared" si="6"/>
      </c>
      <c r="AA93" s="788">
        <f t="shared" si="7"/>
      </c>
      <c r="AB93" s="788">
        <f t="shared" si="8"/>
      </c>
    </row>
    <row r="94" spans="1:32" s="853" customFormat="1" ht="21" customHeight="1" thickBot="1">
      <c r="A94" s="1336" t="s">
        <v>30</v>
      </c>
      <c r="B94" s="1337"/>
      <c r="C94" s="1337"/>
      <c r="D94" s="1337"/>
      <c r="E94" s="1337"/>
      <c r="F94" s="1337"/>
      <c r="G94" s="1338"/>
      <c r="H94" s="737">
        <f aca="true" t="shared" si="30" ref="H94:X94">H20+H30+H37+H41+H48+H56+H64+H67+H71+H82+H93</f>
        <v>339443.27</v>
      </c>
      <c r="I94" s="737">
        <f t="shared" si="30"/>
        <v>0</v>
      </c>
      <c r="J94" s="737">
        <f t="shared" si="30"/>
        <v>0</v>
      </c>
      <c r="K94" s="737">
        <f t="shared" si="30"/>
        <v>922525.16</v>
      </c>
      <c r="L94" s="737">
        <f t="shared" si="30"/>
        <v>39313.25</v>
      </c>
      <c r="M94" s="737">
        <f t="shared" si="30"/>
        <v>901286</v>
      </c>
      <c r="N94" s="737">
        <f t="shared" si="30"/>
        <v>0</v>
      </c>
      <c r="O94" s="737">
        <f t="shared" si="30"/>
        <v>0</v>
      </c>
      <c r="P94" s="737">
        <f t="shared" si="30"/>
        <v>844301</v>
      </c>
      <c r="Q94" s="737">
        <f t="shared" si="30"/>
        <v>0</v>
      </c>
      <c r="R94" s="737">
        <f t="shared" si="30"/>
        <v>0</v>
      </c>
      <c r="S94" s="737">
        <f t="shared" si="30"/>
        <v>843932</v>
      </c>
      <c r="T94" s="737">
        <f t="shared" si="30"/>
        <v>0</v>
      </c>
      <c r="U94" s="737">
        <f t="shared" si="30"/>
        <v>0</v>
      </c>
      <c r="V94" s="738">
        <f t="shared" si="30"/>
        <v>1240729.27</v>
      </c>
      <c r="W94" s="737">
        <f t="shared" si="30"/>
        <v>0</v>
      </c>
      <c r="X94" s="737">
        <f t="shared" si="30"/>
        <v>0</v>
      </c>
      <c r="Z94" s="788">
        <f>IF(V94&gt;(H94+M94+N94),"ERRORE","")</f>
      </c>
      <c r="AA94" s="788">
        <f>IF(W94&gt;(H94+P94+Q94),"ERRORE","")</f>
      </c>
      <c r="AB94" s="788">
        <f>IF(X94&gt;(H94+S94+T94),"ERRORE","")</f>
      </c>
      <c r="AD94" s="854"/>
      <c r="AF94" s="854"/>
    </row>
    <row r="95" spans="1:28" s="853" customFormat="1" ht="21" customHeight="1" thickBot="1">
      <c r="A95" s="1336" t="s">
        <v>32</v>
      </c>
      <c r="B95" s="1337"/>
      <c r="C95" s="1337"/>
      <c r="D95" s="1337"/>
      <c r="E95" s="1337"/>
      <c r="F95" s="1337"/>
      <c r="G95" s="1338"/>
      <c r="H95" s="1342"/>
      <c r="I95" s="1343"/>
      <c r="J95" s="1343"/>
      <c r="K95" s="1343"/>
      <c r="L95" s="1343"/>
      <c r="M95" s="1343"/>
      <c r="N95" s="1343"/>
      <c r="O95" s="1343"/>
      <c r="P95" s="1343"/>
      <c r="Q95" s="1343"/>
      <c r="R95" s="1343"/>
      <c r="S95" s="1343"/>
      <c r="T95" s="1343"/>
      <c r="U95" s="1343"/>
      <c r="V95" s="1343"/>
      <c r="W95" s="1343"/>
      <c r="X95" s="1344"/>
      <c r="Z95" s="1345"/>
      <c r="AA95" s="1346"/>
      <c r="AB95" s="1347"/>
    </row>
    <row r="96" spans="1:28" s="773" customFormat="1" ht="27.75" customHeight="1">
      <c r="A96" s="953">
        <v>3</v>
      </c>
      <c r="B96" s="954">
        <v>1</v>
      </c>
      <c r="C96" s="954">
        <v>1</v>
      </c>
      <c r="D96" s="981">
        <v>420</v>
      </c>
      <c r="E96" s="954">
        <v>101</v>
      </c>
      <c r="F96" s="923" t="s">
        <v>97</v>
      </c>
      <c r="G96" s="1001" t="s">
        <v>892</v>
      </c>
      <c r="H96" s="731">
        <v>3932.42</v>
      </c>
      <c r="I96" s="731"/>
      <c r="J96" s="731"/>
      <c r="K96" s="731">
        <f>26000+885.18</f>
        <v>26885.18</v>
      </c>
      <c r="L96" s="731"/>
      <c r="M96" s="731">
        <v>26900</v>
      </c>
      <c r="N96" s="921"/>
      <c r="O96" s="921"/>
      <c r="P96" s="921">
        <v>26900</v>
      </c>
      <c r="Q96" s="779"/>
      <c r="R96" s="921"/>
      <c r="S96" s="731">
        <v>26900</v>
      </c>
      <c r="T96" s="780"/>
      <c r="U96" s="1015"/>
      <c r="V96" s="1099">
        <f aca="true" t="shared" si="31" ref="V96:V101">H96+M96</f>
        <v>30832.42</v>
      </c>
      <c r="W96" s="957"/>
      <c r="X96" s="958"/>
      <c r="Z96" s="788">
        <f t="shared" si="6"/>
      </c>
      <c r="AA96" s="788">
        <f t="shared" si="7"/>
      </c>
      <c r="AB96" s="788">
        <f t="shared" si="8"/>
      </c>
    </row>
    <row r="97" spans="1:28" s="773" customFormat="1" ht="27.75" customHeight="1">
      <c r="A97" s="960">
        <v>3</v>
      </c>
      <c r="B97" s="961">
        <v>1</v>
      </c>
      <c r="C97" s="961">
        <v>1</v>
      </c>
      <c r="D97" s="828">
        <v>430</v>
      </c>
      <c r="E97" s="961">
        <v>101</v>
      </c>
      <c r="F97" s="924" t="s">
        <v>98</v>
      </c>
      <c r="G97" s="966" t="s">
        <v>893</v>
      </c>
      <c r="H97" s="728">
        <v>1249.09</v>
      </c>
      <c r="I97" s="728"/>
      <c r="J97" s="728"/>
      <c r="K97" s="728">
        <f>7350+210.67</f>
        <v>7560.67</v>
      </c>
      <c r="L97" s="728"/>
      <c r="M97" s="728">
        <v>7500</v>
      </c>
      <c r="N97" s="774"/>
      <c r="O97" s="774"/>
      <c r="P97" s="774">
        <v>7500</v>
      </c>
      <c r="Q97" s="774"/>
      <c r="R97" s="774"/>
      <c r="S97" s="728">
        <v>7500</v>
      </c>
      <c r="T97" s="777"/>
      <c r="U97" s="964"/>
      <c r="V97" s="797">
        <f t="shared" si="31"/>
        <v>8749.09</v>
      </c>
      <c r="W97" s="963"/>
      <c r="X97" s="964"/>
      <c r="Z97" s="788">
        <f t="shared" si="6"/>
      </c>
      <c r="AA97" s="788">
        <f t="shared" si="7"/>
      </c>
      <c r="AB97" s="788">
        <f t="shared" si="8"/>
      </c>
    </row>
    <row r="98" spans="1:28" s="773" customFormat="1" ht="27.75" customHeight="1">
      <c r="A98" s="953">
        <v>3</v>
      </c>
      <c r="B98" s="954">
        <v>1</v>
      </c>
      <c r="C98" s="954">
        <v>1</v>
      </c>
      <c r="D98" s="981">
        <v>435</v>
      </c>
      <c r="E98" s="954">
        <v>102</v>
      </c>
      <c r="F98" s="923" t="s">
        <v>105</v>
      </c>
      <c r="G98" s="956" t="s">
        <v>247</v>
      </c>
      <c r="H98" s="728">
        <v>474.26</v>
      </c>
      <c r="I98" s="728"/>
      <c r="J98" s="728"/>
      <c r="K98" s="728">
        <f>2350+75.24</f>
        <v>2425.24</v>
      </c>
      <c r="L98" s="728"/>
      <c r="M98" s="728">
        <v>2500</v>
      </c>
      <c r="N98" s="774"/>
      <c r="O98" s="774"/>
      <c r="P98" s="774">
        <v>2500</v>
      </c>
      <c r="Q98" s="774"/>
      <c r="R98" s="774"/>
      <c r="S98" s="727">
        <v>2500</v>
      </c>
      <c r="T98" s="777"/>
      <c r="U98" s="964"/>
      <c r="V98" s="797">
        <f t="shared" si="31"/>
        <v>2974.26</v>
      </c>
      <c r="W98" s="963"/>
      <c r="X98" s="964"/>
      <c r="Z98" s="788">
        <f aca="true" t="shared" si="32" ref="Z98:Z177">IF(V98&gt;(H98+M98+N98),"ERRORE","")</f>
      </c>
      <c r="AA98" s="788">
        <f aca="true" t="shared" si="33" ref="AA98:AA177">IF(W98&gt;(H98+P98+Q98),"ERRORE","")</f>
      </c>
      <c r="AB98" s="788">
        <f aca="true" t="shared" si="34" ref="AB98:AB177">IF(X98&gt;(H98+S98+T98),"ERRORE","")</f>
      </c>
    </row>
    <row r="99" spans="1:28" s="773" customFormat="1" ht="27.75" customHeight="1">
      <c r="A99" s="953">
        <v>3</v>
      </c>
      <c r="B99" s="954">
        <v>1</v>
      </c>
      <c r="C99" s="954">
        <v>1</v>
      </c>
      <c r="D99" s="985">
        <v>450</v>
      </c>
      <c r="E99" s="954">
        <v>101</v>
      </c>
      <c r="F99" s="923" t="s">
        <v>998</v>
      </c>
      <c r="G99" s="1001" t="s">
        <v>696</v>
      </c>
      <c r="H99" s="728">
        <v>973.9</v>
      </c>
      <c r="I99" s="728"/>
      <c r="J99" s="728"/>
      <c r="K99" s="728">
        <v>6000</v>
      </c>
      <c r="L99" s="728"/>
      <c r="M99" s="728">
        <v>6000</v>
      </c>
      <c r="N99" s="774"/>
      <c r="O99" s="774"/>
      <c r="P99" s="774">
        <v>6000</v>
      </c>
      <c r="Q99" s="774"/>
      <c r="R99" s="774"/>
      <c r="S99" s="728">
        <v>6000</v>
      </c>
      <c r="T99" s="777"/>
      <c r="U99" s="969"/>
      <c r="V99" s="778">
        <f t="shared" si="31"/>
        <v>6973.9</v>
      </c>
      <c r="W99" s="963"/>
      <c r="X99" s="964"/>
      <c r="Z99" s="788">
        <f t="shared" si="32"/>
      </c>
      <c r="AA99" s="788">
        <f t="shared" si="33"/>
      </c>
      <c r="AB99" s="788">
        <f t="shared" si="34"/>
      </c>
    </row>
    <row r="100" spans="1:28" s="773" customFormat="1" ht="27.75" customHeight="1">
      <c r="A100" s="953">
        <v>3</v>
      </c>
      <c r="B100" s="954">
        <v>1</v>
      </c>
      <c r="C100" s="954">
        <v>1</v>
      </c>
      <c r="D100" s="985">
        <v>456</v>
      </c>
      <c r="E100" s="954">
        <v>103</v>
      </c>
      <c r="F100" s="923" t="s">
        <v>999</v>
      </c>
      <c r="G100" s="1001" t="s">
        <v>973</v>
      </c>
      <c r="H100" s="728">
        <v>743.93</v>
      </c>
      <c r="I100" s="728"/>
      <c r="J100" s="728"/>
      <c r="K100" s="728">
        <v>0</v>
      </c>
      <c r="L100" s="728"/>
      <c r="M100" s="728">
        <v>0</v>
      </c>
      <c r="N100" s="774"/>
      <c r="O100" s="774"/>
      <c r="P100" s="774">
        <v>0</v>
      </c>
      <c r="Q100" s="774"/>
      <c r="R100" s="774"/>
      <c r="S100" s="728">
        <v>0</v>
      </c>
      <c r="T100" s="777"/>
      <c r="U100" s="969"/>
      <c r="V100" s="778">
        <f t="shared" si="31"/>
        <v>743.93</v>
      </c>
      <c r="W100" s="963"/>
      <c r="X100" s="964"/>
      <c r="Z100" s="788">
        <f t="shared" si="32"/>
      </c>
      <c r="AA100" s="788">
        <f t="shared" si="33"/>
      </c>
      <c r="AB100" s="788">
        <f t="shared" si="34"/>
      </c>
    </row>
    <row r="101" spans="1:28" s="773" customFormat="1" ht="27.75" customHeight="1">
      <c r="A101" s="960">
        <v>3</v>
      </c>
      <c r="B101" s="961">
        <v>1</v>
      </c>
      <c r="C101" s="961">
        <v>1</v>
      </c>
      <c r="D101" s="962">
        <v>460</v>
      </c>
      <c r="E101" s="961">
        <v>103</v>
      </c>
      <c r="F101" s="924" t="s">
        <v>103</v>
      </c>
      <c r="G101" s="966" t="s">
        <v>736</v>
      </c>
      <c r="H101" s="728">
        <v>197.65</v>
      </c>
      <c r="I101" s="728"/>
      <c r="J101" s="728"/>
      <c r="K101" s="728">
        <v>2000</v>
      </c>
      <c r="L101" s="728"/>
      <c r="M101" s="728">
        <v>2000</v>
      </c>
      <c r="N101" s="774"/>
      <c r="O101" s="774"/>
      <c r="P101" s="774">
        <v>2000</v>
      </c>
      <c r="Q101" s="774"/>
      <c r="R101" s="774"/>
      <c r="S101" s="728">
        <v>2000</v>
      </c>
      <c r="T101" s="777"/>
      <c r="U101" s="800"/>
      <c r="V101" s="778">
        <f t="shared" si="31"/>
        <v>2197.65</v>
      </c>
      <c r="W101" s="963"/>
      <c r="X101" s="964"/>
      <c r="Z101" s="788">
        <f t="shared" si="32"/>
      </c>
      <c r="AA101" s="788">
        <f t="shared" si="33"/>
      </c>
      <c r="AB101" s="788">
        <f t="shared" si="34"/>
      </c>
    </row>
    <row r="102" spans="1:28" s="853" customFormat="1" ht="21" customHeight="1" thickBot="1">
      <c r="A102" s="1334" t="s">
        <v>360</v>
      </c>
      <c r="B102" s="1335"/>
      <c r="C102" s="1335"/>
      <c r="D102" s="1335"/>
      <c r="E102" s="1335"/>
      <c r="F102" s="1335"/>
      <c r="G102" s="1335"/>
      <c r="H102" s="1011">
        <f aca="true" t="shared" si="35" ref="H102:X102">SUM(H96:H101)</f>
        <v>7571.25</v>
      </c>
      <c r="I102" s="1011">
        <f t="shared" si="35"/>
        <v>0</v>
      </c>
      <c r="J102" s="1011">
        <f t="shared" si="35"/>
        <v>0</v>
      </c>
      <c r="K102" s="736">
        <f t="shared" si="35"/>
        <v>44871.09</v>
      </c>
      <c r="L102" s="736">
        <f t="shared" si="35"/>
        <v>0</v>
      </c>
      <c r="M102" s="736">
        <f t="shared" si="35"/>
        <v>44900</v>
      </c>
      <c r="N102" s="736">
        <f t="shared" si="35"/>
        <v>0</v>
      </c>
      <c r="O102" s="736">
        <f t="shared" si="35"/>
        <v>0</v>
      </c>
      <c r="P102" s="736">
        <f t="shared" si="35"/>
        <v>44900</v>
      </c>
      <c r="Q102" s="1012">
        <f t="shared" si="35"/>
        <v>0</v>
      </c>
      <c r="R102" s="1012">
        <f t="shared" si="35"/>
        <v>0</v>
      </c>
      <c r="S102" s="1012">
        <f t="shared" si="35"/>
        <v>44900</v>
      </c>
      <c r="T102" s="1012">
        <f t="shared" si="35"/>
        <v>0</v>
      </c>
      <c r="U102" s="1012">
        <f t="shared" si="35"/>
        <v>0</v>
      </c>
      <c r="V102" s="838">
        <f t="shared" si="35"/>
        <v>52471.25</v>
      </c>
      <c r="W102" s="1013">
        <f t="shared" si="35"/>
        <v>0</v>
      </c>
      <c r="X102" s="1014">
        <f t="shared" si="35"/>
        <v>0</v>
      </c>
      <c r="Z102" s="788">
        <f t="shared" si="32"/>
      </c>
      <c r="AA102" s="788">
        <f t="shared" si="33"/>
      </c>
      <c r="AB102" s="788">
        <f t="shared" si="34"/>
      </c>
    </row>
    <row r="103" spans="1:32" s="853" customFormat="1" ht="21" customHeight="1" thickBot="1">
      <c r="A103" s="1336" t="s">
        <v>33</v>
      </c>
      <c r="B103" s="1337"/>
      <c r="C103" s="1337"/>
      <c r="D103" s="1337"/>
      <c r="E103" s="1337"/>
      <c r="F103" s="1337"/>
      <c r="G103" s="1338"/>
      <c r="H103" s="738">
        <f>H102</f>
        <v>7571.25</v>
      </c>
      <c r="I103" s="738">
        <f aca="true" t="shared" si="36" ref="I103:O103">I102</f>
        <v>0</v>
      </c>
      <c r="J103" s="738">
        <f t="shared" si="36"/>
        <v>0</v>
      </c>
      <c r="K103" s="738">
        <f t="shared" si="36"/>
        <v>44871.09</v>
      </c>
      <c r="L103" s="738">
        <f t="shared" si="36"/>
        <v>0</v>
      </c>
      <c r="M103" s="738">
        <f t="shared" si="36"/>
        <v>44900</v>
      </c>
      <c r="N103" s="738">
        <f t="shared" si="36"/>
        <v>0</v>
      </c>
      <c r="O103" s="738">
        <f t="shared" si="36"/>
        <v>0</v>
      </c>
      <c r="P103" s="738">
        <f aca="true" t="shared" si="37" ref="P103:X103">P102</f>
        <v>44900</v>
      </c>
      <c r="Q103" s="738">
        <f t="shared" si="37"/>
        <v>0</v>
      </c>
      <c r="R103" s="738">
        <f t="shared" si="37"/>
        <v>0</v>
      </c>
      <c r="S103" s="738">
        <f t="shared" si="37"/>
        <v>44900</v>
      </c>
      <c r="T103" s="738">
        <f t="shared" si="37"/>
        <v>0</v>
      </c>
      <c r="U103" s="738">
        <f t="shared" si="37"/>
        <v>0</v>
      </c>
      <c r="V103" s="738">
        <f t="shared" si="37"/>
        <v>52471.25</v>
      </c>
      <c r="W103" s="1016">
        <f t="shared" si="37"/>
        <v>0</v>
      </c>
      <c r="X103" s="738">
        <f t="shared" si="37"/>
        <v>0</v>
      </c>
      <c r="Z103" s="788">
        <f>IF(V103&gt;(H103+M103+N103),"ERRORE","")</f>
      </c>
      <c r="AA103" s="788">
        <f>IF(W103&gt;(H103+P103+Q103),"ERRORE","")</f>
      </c>
      <c r="AB103" s="788">
        <f>IF(X103&gt;(H103+S103+T103),"ERRORE","")</f>
      </c>
      <c r="AD103" s="854"/>
      <c r="AF103" s="854"/>
    </row>
    <row r="104" spans="1:28" s="853" customFormat="1" ht="21" customHeight="1" thickBot="1">
      <c r="A104" s="1336" t="s">
        <v>44</v>
      </c>
      <c r="B104" s="1337"/>
      <c r="C104" s="1337"/>
      <c r="D104" s="1337"/>
      <c r="E104" s="1337"/>
      <c r="F104" s="1337"/>
      <c r="G104" s="1338"/>
      <c r="H104" s="1342"/>
      <c r="I104" s="1343"/>
      <c r="J104" s="1343"/>
      <c r="K104" s="1343"/>
      <c r="L104" s="1343"/>
      <c r="M104" s="1343"/>
      <c r="N104" s="1343"/>
      <c r="O104" s="1343"/>
      <c r="P104" s="1343"/>
      <c r="Q104" s="1343"/>
      <c r="R104" s="1343"/>
      <c r="S104" s="1343"/>
      <c r="T104" s="1343"/>
      <c r="U104" s="1343"/>
      <c r="V104" s="1343"/>
      <c r="W104" s="1343"/>
      <c r="X104" s="1344"/>
      <c r="Z104" s="1345"/>
      <c r="AA104" s="1346"/>
      <c r="AB104" s="1347"/>
    </row>
    <row r="105" spans="1:28" s="773" customFormat="1" ht="27.75" customHeight="1">
      <c r="A105" s="960">
        <v>4</v>
      </c>
      <c r="B105" s="961">
        <v>1</v>
      </c>
      <c r="C105" s="961">
        <v>1</v>
      </c>
      <c r="D105" s="828">
        <v>470</v>
      </c>
      <c r="E105" s="961">
        <v>110</v>
      </c>
      <c r="F105" s="924" t="s">
        <v>216</v>
      </c>
      <c r="G105" s="959" t="s">
        <v>248</v>
      </c>
      <c r="H105" s="728">
        <v>9196.87</v>
      </c>
      <c r="I105" s="728"/>
      <c r="J105" s="728"/>
      <c r="K105" s="728">
        <v>40000</v>
      </c>
      <c r="L105" s="728">
        <v>21432.87</v>
      </c>
      <c r="M105" s="728">
        <v>40000</v>
      </c>
      <c r="N105" s="774"/>
      <c r="O105" s="774"/>
      <c r="P105" s="774">
        <v>40000</v>
      </c>
      <c r="Q105" s="774"/>
      <c r="R105" s="774"/>
      <c r="S105" s="728">
        <v>40000</v>
      </c>
      <c r="T105" s="777"/>
      <c r="U105" s="1017"/>
      <c r="V105" s="1099">
        <f>H105+M105</f>
        <v>49196.87</v>
      </c>
      <c r="W105" s="963"/>
      <c r="X105" s="964"/>
      <c r="Z105" s="788">
        <f t="shared" si="32"/>
      </c>
      <c r="AA105" s="788">
        <f t="shared" si="33"/>
      </c>
      <c r="AB105" s="788">
        <f t="shared" si="34"/>
      </c>
    </row>
    <row r="106" spans="1:28" s="773" customFormat="1" ht="27.75" customHeight="1" hidden="1">
      <c r="A106" s="960">
        <v>4</v>
      </c>
      <c r="B106" s="961"/>
      <c r="C106" s="961"/>
      <c r="D106" s="962"/>
      <c r="E106" s="961"/>
      <c r="F106" s="924"/>
      <c r="G106" s="959"/>
      <c r="H106" s="728"/>
      <c r="I106" s="728"/>
      <c r="J106" s="728"/>
      <c r="K106" s="728"/>
      <c r="L106" s="728"/>
      <c r="M106" s="728"/>
      <c r="N106" s="774"/>
      <c r="O106" s="774"/>
      <c r="P106" s="774"/>
      <c r="Q106" s="774"/>
      <c r="R106" s="774"/>
      <c r="S106" s="728"/>
      <c r="T106" s="777"/>
      <c r="U106" s="964"/>
      <c r="V106" s="778"/>
      <c r="W106" s="963"/>
      <c r="X106" s="964"/>
      <c r="Z106" s="788">
        <f>IF(V106&gt;(H106+M106+N106),"ERRORE","")</f>
      </c>
      <c r="AA106" s="788">
        <f>IF(W106&gt;(H106+P106+Q106),"ERRORE","")</f>
      </c>
      <c r="AB106" s="788">
        <f>IF(X106&gt;(H106+S106+T106),"ERRORE","")</f>
      </c>
    </row>
    <row r="107" spans="1:28" s="773" customFormat="1" ht="27.75" customHeight="1" hidden="1">
      <c r="A107" s="960">
        <v>4</v>
      </c>
      <c r="B107" s="961"/>
      <c r="C107" s="961"/>
      <c r="D107" s="962"/>
      <c r="E107" s="961"/>
      <c r="F107" s="924"/>
      <c r="G107" s="959"/>
      <c r="H107" s="728"/>
      <c r="I107" s="728"/>
      <c r="J107" s="728"/>
      <c r="K107" s="728"/>
      <c r="L107" s="728"/>
      <c r="M107" s="728"/>
      <c r="N107" s="774"/>
      <c r="O107" s="774"/>
      <c r="P107" s="774"/>
      <c r="Q107" s="774"/>
      <c r="R107" s="774"/>
      <c r="S107" s="728"/>
      <c r="T107" s="777"/>
      <c r="U107" s="1018"/>
      <c r="V107" s="778"/>
      <c r="W107" s="963"/>
      <c r="X107" s="964"/>
      <c r="Z107" s="788">
        <f>IF(V107&gt;(H107+M107+N107),"ERRORE","")</f>
      </c>
      <c r="AA107" s="788">
        <f>IF(W107&gt;(H107+P107+Q107),"ERRORE","")</f>
      </c>
      <c r="AB107" s="788">
        <f>IF(X107&gt;(H107+S107+T107),"ERRORE","")</f>
      </c>
    </row>
    <row r="108" spans="1:28" s="853" customFormat="1" ht="21" customHeight="1">
      <c r="A108" s="1339" t="s">
        <v>361</v>
      </c>
      <c r="B108" s="1340"/>
      <c r="C108" s="1340"/>
      <c r="D108" s="1340"/>
      <c r="E108" s="1340"/>
      <c r="F108" s="1340"/>
      <c r="G108" s="1341"/>
      <c r="H108" s="732">
        <f aca="true" t="shared" si="38" ref="H108:X108">SUM(H105:H105)</f>
        <v>9196.87</v>
      </c>
      <c r="I108" s="732">
        <f t="shared" si="38"/>
        <v>0</v>
      </c>
      <c r="J108" s="732">
        <f t="shared" si="38"/>
        <v>0</v>
      </c>
      <c r="K108" s="730">
        <f t="shared" si="38"/>
        <v>40000</v>
      </c>
      <c r="L108" s="730">
        <f t="shared" si="38"/>
        <v>21432.87</v>
      </c>
      <c r="M108" s="730">
        <f t="shared" si="38"/>
        <v>40000</v>
      </c>
      <c r="N108" s="730">
        <f t="shared" si="38"/>
        <v>0</v>
      </c>
      <c r="O108" s="730">
        <f t="shared" si="38"/>
        <v>0</v>
      </c>
      <c r="P108" s="730">
        <f t="shared" si="38"/>
        <v>40000</v>
      </c>
      <c r="Q108" s="975">
        <f t="shared" si="38"/>
        <v>0</v>
      </c>
      <c r="R108" s="975">
        <f t="shared" si="38"/>
        <v>0</v>
      </c>
      <c r="S108" s="975">
        <f t="shared" si="38"/>
        <v>40000</v>
      </c>
      <c r="T108" s="975">
        <f t="shared" si="38"/>
        <v>0</v>
      </c>
      <c r="U108" s="975">
        <f t="shared" si="38"/>
        <v>0</v>
      </c>
      <c r="V108" s="833">
        <f t="shared" si="38"/>
        <v>49196.87</v>
      </c>
      <c r="W108" s="986">
        <f t="shared" si="38"/>
        <v>0</v>
      </c>
      <c r="X108" s="977">
        <f t="shared" si="38"/>
        <v>0</v>
      </c>
      <c r="Z108" s="788">
        <f t="shared" si="32"/>
      </c>
      <c r="AA108" s="788">
        <f t="shared" si="33"/>
      </c>
      <c r="AB108" s="788">
        <f t="shared" si="34"/>
      </c>
    </row>
    <row r="109" spans="1:28" s="773" customFormat="1" ht="27" customHeight="1">
      <c r="A109" s="960">
        <v>4</v>
      </c>
      <c r="B109" s="961">
        <v>2</v>
      </c>
      <c r="C109" s="961">
        <v>1</v>
      </c>
      <c r="D109" s="828">
        <v>505</v>
      </c>
      <c r="E109" s="961">
        <v>103</v>
      </c>
      <c r="F109" s="924" t="s">
        <v>107</v>
      </c>
      <c r="G109" s="966" t="s">
        <v>697</v>
      </c>
      <c r="H109" s="728">
        <v>22082.62</v>
      </c>
      <c r="I109" s="728"/>
      <c r="J109" s="728"/>
      <c r="K109" s="728">
        <v>25000</v>
      </c>
      <c r="L109" s="728">
        <v>6933.5</v>
      </c>
      <c r="M109" s="774">
        <v>20000</v>
      </c>
      <c r="N109" s="774"/>
      <c r="O109" s="774"/>
      <c r="P109" s="728">
        <v>20000</v>
      </c>
      <c r="Q109" s="774"/>
      <c r="R109" s="774"/>
      <c r="S109" s="728">
        <v>20000</v>
      </c>
      <c r="T109" s="777"/>
      <c r="U109" s="1015"/>
      <c r="V109" s="797">
        <f>H109+M109</f>
        <v>42082.619999999995</v>
      </c>
      <c r="W109" s="963"/>
      <c r="X109" s="964"/>
      <c r="Z109" s="788">
        <f t="shared" si="32"/>
      </c>
      <c r="AA109" s="788">
        <f t="shared" si="33"/>
      </c>
      <c r="AB109" s="788">
        <f t="shared" si="34"/>
      </c>
    </row>
    <row r="110" spans="1:28" s="773" customFormat="1" ht="27.75" customHeight="1">
      <c r="A110" s="953">
        <v>4</v>
      </c>
      <c r="B110" s="954">
        <v>2</v>
      </c>
      <c r="C110" s="954">
        <v>1</v>
      </c>
      <c r="D110" s="985">
        <v>515</v>
      </c>
      <c r="E110" s="954">
        <v>103</v>
      </c>
      <c r="F110" s="923" t="s">
        <v>107</v>
      </c>
      <c r="G110" s="956" t="s">
        <v>503</v>
      </c>
      <c r="H110" s="728">
        <v>149.63</v>
      </c>
      <c r="I110" s="728"/>
      <c r="J110" s="728"/>
      <c r="K110" s="728">
        <v>3000</v>
      </c>
      <c r="L110" s="728"/>
      <c r="M110" s="774">
        <v>3000</v>
      </c>
      <c r="N110" s="774"/>
      <c r="O110" s="774"/>
      <c r="P110" s="728">
        <v>3000</v>
      </c>
      <c r="Q110" s="774"/>
      <c r="R110" s="774"/>
      <c r="S110" s="728">
        <v>3000</v>
      </c>
      <c r="T110" s="777"/>
      <c r="U110" s="964"/>
      <c r="V110" s="778">
        <f>H110+M110</f>
        <v>3149.63</v>
      </c>
      <c r="W110" s="963"/>
      <c r="X110" s="964"/>
      <c r="Z110" s="788">
        <f t="shared" si="32"/>
      </c>
      <c r="AA110" s="788">
        <f t="shared" si="33"/>
      </c>
      <c r="AB110" s="788">
        <f t="shared" si="34"/>
      </c>
    </row>
    <row r="111" spans="1:28" s="773" customFormat="1" ht="27.75" customHeight="1">
      <c r="A111" s="960">
        <v>4</v>
      </c>
      <c r="B111" s="961">
        <v>2</v>
      </c>
      <c r="C111" s="961">
        <v>1</v>
      </c>
      <c r="D111" s="962">
        <v>516</v>
      </c>
      <c r="E111" s="961">
        <v>104</v>
      </c>
      <c r="F111" s="924" t="s">
        <v>106</v>
      </c>
      <c r="G111" s="959" t="s">
        <v>504</v>
      </c>
      <c r="H111" s="728">
        <v>0</v>
      </c>
      <c r="I111" s="728"/>
      <c r="J111" s="728"/>
      <c r="K111" s="728">
        <v>3500</v>
      </c>
      <c r="L111" s="728"/>
      <c r="M111" s="774">
        <v>3500</v>
      </c>
      <c r="N111" s="774"/>
      <c r="O111" s="774"/>
      <c r="P111" s="728">
        <v>3500</v>
      </c>
      <c r="Q111" s="774"/>
      <c r="R111" s="774"/>
      <c r="S111" s="728">
        <v>3500</v>
      </c>
      <c r="T111" s="777"/>
      <c r="U111" s="964"/>
      <c r="V111" s="778">
        <f aca="true" t="shared" si="39" ref="V111:V118">H111+M111</f>
        <v>3500</v>
      </c>
      <c r="W111" s="963"/>
      <c r="X111" s="964"/>
      <c r="Z111" s="788">
        <f>IF(V111&gt;(H111+M111+N111),"ERRORE","")</f>
      </c>
      <c r="AA111" s="788">
        <f>IF(W111&gt;(H111+P111+Q111),"ERRORE","")</f>
      </c>
      <c r="AB111" s="788">
        <f>IF(X111&gt;(H111+S111+T111),"ERRORE","")</f>
      </c>
    </row>
    <row r="112" spans="1:28" s="773" customFormat="1" ht="27.75" customHeight="1">
      <c r="A112" s="782">
        <v>4</v>
      </c>
      <c r="B112" s="783">
        <v>2</v>
      </c>
      <c r="C112" s="783">
        <v>1</v>
      </c>
      <c r="D112" s="827">
        <v>518</v>
      </c>
      <c r="E112" s="783">
        <v>107</v>
      </c>
      <c r="F112" s="784" t="s">
        <v>124</v>
      </c>
      <c r="G112" s="980" t="s">
        <v>340</v>
      </c>
      <c r="H112" s="729">
        <v>3151.1</v>
      </c>
      <c r="I112" s="729"/>
      <c r="J112" s="729"/>
      <c r="K112" s="739">
        <v>6538</v>
      </c>
      <c r="L112" s="739"/>
      <c r="M112" s="775">
        <v>7906</v>
      </c>
      <c r="N112" s="775"/>
      <c r="O112" s="775"/>
      <c r="P112" s="729">
        <v>7420</v>
      </c>
      <c r="Q112" s="798"/>
      <c r="R112" s="775"/>
      <c r="S112" s="729">
        <v>6912</v>
      </c>
      <c r="T112" s="799"/>
      <c r="U112" s="800"/>
      <c r="V112" s="797">
        <f t="shared" si="39"/>
        <v>11057.1</v>
      </c>
      <c r="W112" s="968"/>
      <c r="X112" s="969"/>
      <c r="Z112" s="788">
        <f>IF(V112&gt;(H112+M112+N112),"ERRORE","")</f>
      </c>
      <c r="AA112" s="788">
        <f>IF(W112&gt;(H112+P112+Q112),"ERRORE","")</f>
      </c>
      <c r="AB112" s="788">
        <f>IF(X112&gt;(H112+S112+T112),"ERRORE","")</f>
      </c>
    </row>
    <row r="113" spans="1:28" s="773" customFormat="1" ht="27.75" customHeight="1">
      <c r="A113" s="960">
        <v>4</v>
      </c>
      <c r="B113" s="961">
        <v>2</v>
      </c>
      <c r="C113" s="961">
        <v>1</v>
      </c>
      <c r="D113" s="828">
        <v>520</v>
      </c>
      <c r="E113" s="961">
        <v>103</v>
      </c>
      <c r="F113" s="924" t="s">
        <v>107</v>
      </c>
      <c r="G113" s="959" t="s">
        <v>510</v>
      </c>
      <c r="H113" s="728">
        <v>14102.72</v>
      </c>
      <c r="I113" s="728"/>
      <c r="J113" s="728"/>
      <c r="K113" s="728">
        <v>28000</v>
      </c>
      <c r="L113" s="728"/>
      <c r="M113" s="774">
        <v>28000</v>
      </c>
      <c r="N113" s="774"/>
      <c r="O113" s="774"/>
      <c r="P113" s="728">
        <v>28000</v>
      </c>
      <c r="Q113" s="774"/>
      <c r="R113" s="774"/>
      <c r="S113" s="728">
        <v>28000</v>
      </c>
      <c r="T113" s="777"/>
      <c r="U113" s="964"/>
      <c r="V113" s="797">
        <f t="shared" si="39"/>
        <v>42102.72</v>
      </c>
      <c r="W113" s="963"/>
      <c r="X113" s="964"/>
      <c r="Z113" s="788">
        <f t="shared" si="32"/>
      </c>
      <c r="AA113" s="788">
        <f t="shared" si="33"/>
      </c>
      <c r="AB113" s="788">
        <f t="shared" si="34"/>
      </c>
    </row>
    <row r="114" spans="1:28" s="773" customFormat="1" ht="27.75" customHeight="1">
      <c r="A114" s="960">
        <v>4</v>
      </c>
      <c r="B114" s="961">
        <v>2</v>
      </c>
      <c r="C114" s="961">
        <v>1</v>
      </c>
      <c r="D114" s="962">
        <v>526</v>
      </c>
      <c r="E114" s="961">
        <v>104</v>
      </c>
      <c r="F114" s="924" t="s">
        <v>106</v>
      </c>
      <c r="G114" s="959" t="s">
        <v>511</v>
      </c>
      <c r="H114" s="728">
        <v>0</v>
      </c>
      <c r="I114" s="728"/>
      <c r="J114" s="728"/>
      <c r="K114" s="728">
        <v>14000</v>
      </c>
      <c r="L114" s="728"/>
      <c r="M114" s="774">
        <v>14000</v>
      </c>
      <c r="N114" s="774"/>
      <c r="O114" s="774"/>
      <c r="P114" s="728">
        <v>14000</v>
      </c>
      <c r="Q114" s="774"/>
      <c r="R114" s="774"/>
      <c r="S114" s="728">
        <v>14000</v>
      </c>
      <c r="T114" s="777"/>
      <c r="U114" s="964"/>
      <c r="V114" s="778">
        <f t="shared" si="39"/>
        <v>14000</v>
      </c>
      <c r="W114" s="963"/>
      <c r="X114" s="964"/>
      <c r="Z114" s="788">
        <f t="shared" si="32"/>
      </c>
      <c r="AA114" s="788">
        <f t="shared" si="33"/>
      </c>
      <c r="AB114" s="788">
        <f t="shared" si="34"/>
      </c>
    </row>
    <row r="115" spans="1:28" s="773" customFormat="1" ht="27.75" customHeight="1">
      <c r="A115" s="960">
        <v>4</v>
      </c>
      <c r="B115" s="961">
        <v>2</v>
      </c>
      <c r="C115" s="961">
        <v>1</v>
      </c>
      <c r="D115" s="828">
        <v>527</v>
      </c>
      <c r="E115" s="961">
        <v>104</v>
      </c>
      <c r="F115" s="924" t="s">
        <v>986</v>
      </c>
      <c r="G115" s="966" t="s">
        <v>607</v>
      </c>
      <c r="H115" s="728">
        <v>1700</v>
      </c>
      <c r="I115" s="728"/>
      <c r="J115" s="728"/>
      <c r="K115" s="728">
        <f>1000+500</f>
        <v>1500</v>
      </c>
      <c r="L115" s="728"/>
      <c r="M115" s="774">
        <v>1500</v>
      </c>
      <c r="N115" s="774"/>
      <c r="O115" s="774"/>
      <c r="P115" s="728">
        <v>1500</v>
      </c>
      <c r="Q115" s="774"/>
      <c r="R115" s="774"/>
      <c r="S115" s="728">
        <v>1500</v>
      </c>
      <c r="T115" s="777"/>
      <c r="U115" s="964"/>
      <c r="V115" s="797">
        <f t="shared" si="39"/>
        <v>3200</v>
      </c>
      <c r="W115" s="963"/>
      <c r="X115" s="964"/>
      <c r="Z115" s="788">
        <f>IF(V115&gt;(H115+M115+N115),"ERRORE","")</f>
      </c>
      <c r="AA115" s="788">
        <f t="shared" si="33"/>
      </c>
      <c r="AB115" s="788">
        <f>IF(X115&gt;(H115+S115+T115),"ERRORE","")</f>
      </c>
    </row>
    <row r="116" spans="1:28" s="773" customFormat="1" ht="27.75" customHeight="1">
      <c r="A116" s="960">
        <v>4</v>
      </c>
      <c r="B116" s="961">
        <v>2</v>
      </c>
      <c r="C116" s="961">
        <v>1</v>
      </c>
      <c r="D116" s="962">
        <v>528</v>
      </c>
      <c r="E116" s="961">
        <v>104</v>
      </c>
      <c r="F116" s="924" t="s">
        <v>505</v>
      </c>
      <c r="G116" s="959" t="s">
        <v>512</v>
      </c>
      <c r="H116" s="728">
        <v>0</v>
      </c>
      <c r="I116" s="728"/>
      <c r="J116" s="728"/>
      <c r="K116" s="728">
        <v>5000</v>
      </c>
      <c r="L116" s="728"/>
      <c r="M116" s="774">
        <f>ENTRATA!K35</f>
        <v>5000</v>
      </c>
      <c r="N116" s="774">
        <f>ENTRATA!L35</f>
        <v>0</v>
      </c>
      <c r="O116" s="774">
        <f>ENTRATA!M35</f>
        <v>0</v>
      </c>
      <c r="P116" s="774">
        <f>ENTRATA!N35</f>
        <v>5000</v>
      </c>
      <c r="Q116" s="774">
        <f>ENTRATA!O35</f>
        <v>0</v>
      </c>
      <c r="R116" s="774">
        <f>ENTRATA!P35</f>
        <v>0</v>
      </c>
      <c r="S116" s="774">
        <f>ENTRATA!Q35</f>
        <v>5000</v>
      </c>
      <c r="T116" s="777"/>
      <c r="U116" s="964"/>
      <c r="V116" s="778">
        <f t="shared" si="39"/>
        <v>5000</v>
      </c>
      <c r="W116" s="963"/>
      <c r="X116" s="964"/>
      <c r="Z116" s="788">
        <f t="shared" si="32"/>
      </c>
      <c r="AA116" s="788">
        <f t="shared" si="33"/>
      </c>
      <c r="AB116" s="788">
        <f t="shared" si="34"/>
      </c>
    </row>
    <row r="117" spans="1:28" s="773" customFormat="1" ht="27.75" customHeight="1">
      <c r="A117" s="960">
        <v>4</v>
      </c>
      <c r="B117" s="961">
        <v>2</v>
      </c>
      <c r="C117" s="961">
        <v>1</v>
      </c>
      <c r="D117" s="962">
        <v>530</v>
      </c>
      <c r="E117" s="961">
        <v>104</v>
      </c>
      <c r="F117" s="924" t="s">
        <v>505</v>
      </c>
      <c r="G117" s="959" t="s">
        <v>513</v>
      </c>
      <c r="H117" s="728">
        <v>0</v>
      </c>
      <c r="I117" s="728"/>
      <c r="J117" s="728"/>
      <c r="K117" s="728">
        <v>8000</v>
      </c>
      <c r="L117" s="728"/>
      <c r="M117" s="774">
        <f>ENTRATA!K34</f>
        <v>8000</v>
      </c>
      <c r="N117" s="774">
        <f>ENTRATA!L34</f>
        <v>0</v>
      </c>
      <c r="O117" s="774">
        <f>ENTRATA!M34</f>
        <v>0</v>
      </c>
      <c r="P117" s="774">
        <f>ENTRATA!N34</f>
        <v>8000</v>
      </c>
      <c r="Q117" s="774">
        <f>ENTRATA!O34</f>
        <v>0</v>
      </c>
      <c r="R117" s="774">
        <f>ENTRATA!P34</f>
        <v>0</v>
      </c>
      <c r="S117" s="774">
        <f>ENTRATA!Q34</f>
        <v>8000</v>
      </c>
      <c r="T117" s="777"/>
      <c r="U117" s="964"/>
      <c r="V117" s="778">
        <f t="shared" si="39"/>
        <v>8000</v>
      </c>
      <c r="W117" s="963"/>
      <c r="X117" s="964"/>
      <c r="Z117" s="788">
        <f t="shared" si="32"/>
      </c>
      <c r="AA117" s="788">
        <f t="shared" si="33"/>
      </c>
      <c r="AB117" s="788">
        <f t="shared" si="34"/>
      </c>
    </row>
    <row r="118" spans="1:28" s="773" customFormat="1" ht="27.75" customHeight="1">
      <c r="A118" s="960">
        <v>4</v>
      </c>
      <c r="B118" s="961">
        <v>2</v>
      </c>
      <c r="C118" s="961">
        <v>1</v>
      </c>
      <c r="D118" s="828">
        <v>560</v>
      </c>
      <c r="E118" s="961">
        <v>103</v>
      </c>
      <c r="F118" s="924" t="s">
        <v>444</v>
      </c>
      <c r="G118" s="959" t="s">
        <v>0</v>
      </c>
      <c r="H118" s="728">
        <v>5609.3</v>
      </c>
      <c r="I118" s="728"/>
      <c r="J118" s="728"/>
      <c r="K118" s="728">
        <v>13000</v>
      </c>
      <c r="L118" s="728"/>
      <c r="M118" s="774">
        <v>13000</v>
      </c>
      <c r="N118" s="774"/>
      <c r="O118" s="774"/>
      <c r="P118" s="728">
        <v>13000</v>
      </c>
      <c r="Q118" s="774"/>
      <c r="R118" s="774"/>
      <c r="S118" s="728">
        <v>13000</v>
      </c>
      <c r="T118" s="777"/>
      <c r="U118" s="964"/>
      <c r="V118" s="797">
        <f t="shared" si="39"/>
        <v>18609.3</v>
      </c>
      <c r="W118" s="963"/>
      <c r="X118" s="964"/>
      <c r="Z118" s="788">
        <f t="shared" si="32"/>
      </c>
      <c r="AA118" s="788">
        <f t="shared" si="33"/>
      </c>
      <c r="AB118" s="788">
        <f t="shared" si="34"/>
      </c>
    </row>
    <row r="119" spans="1:28" s="853" customFormat="1" ht="21" customHeight="1">
      <c r="A119" s="1339" t="s">
        <v>362</v>
      </c>
      <c r="B119" s="1340"/>
      <c r="C119" s="1340"/>
      <c r="D119" s="1340"/>
      <c r="E119" s="1340"/>
      <c r="F119" s="1340"/>
      <c r="G119" s="1341"/>
      <c r="H119" s="732">
        <f aca="true" t="shared" si="40" ref="H119:X119">SUM(H109:H118)</f>
        <v>46795.37</v>
      </c>
      <c r="I119" s="732">
        <f t="shared" si="40"/>
        <v>0</v>
      </c>
      <c r="J119" s="732">
        <f t="shared" si="40"/>
        <v>0</v>
      </c>
      <c r="K119" s="732">
        <f t="shared" si="40"/>
        <v>107538</v>
      </c>
      <c r="L119" s="732">
        <f t="shared" si="40"/>
        <v>6933.5</v>
      </c>
      <c r="M119" s="732">
        <f t="shared" si="40"/>
        <v>103906</v>
      </c>
      <c r="N119" s="732">
        <f t="shared" si="40"/>
        <v>0</v>
      </c>
      <c r="O119" s="732">
        <f t="shared" si="40"/>
        <v>0</v>
      </c>
      <c r="P119" s="732">
        <f t="shared" si="40"/>
        <v>103420</v>
      </c>
      <c r="Q119" s="767">
        <f t="shared" si="40"/>
        <v>0</v>
      </c>
      <c r="R119" s="767">
        <f t="shared" si="40"/>
        <v>0</v>
      </c>
      <c r="S119" s="767">
        <f t="shared" si="40"/>
        <v>102912</v>
      </c>
      <c r="T119" s="767">
        <f t="shared" si="40"/>
        <v>0</v>
      </c>
      <c r="U119" s="767">
        <f t="shared" si="40"/>
        <v>0</v>
      </c>
      <c r="V119" s="768">
        <f t="shared" si="40"/>
        <v>150701.37</v>
      </c>
      <c r="W119" s="983">
        <f t="shared" si="40"/>
        <v>0</v>
      </c>
      <c r="X119" s="984">
        <f t="shared" si="40"/>
        <v>0</v>
      </c>
      <c r="Z119" s="788">
        <f t="shared" si="32"/>
      </c>
      <c r="AA119" s="788">
        <f t="shared" si="33"/>
      </c>
      <c r="AB119" s="788">
        <f t="shared" si="34"/>
      </c>
    </row>
    <row r="120" spans="1:28" s="773" customFormat="1" ht="27.75" customHeight="1">
      <c r="A120" s="953">
        <v>4</v>
      </c>
      <c r="B120" s="955">
        <v>6</v>
      </c>
      <c r="C120" s="954">
        <v>1</v>
      </c>
      <c r="D120" s="981">
        <v>506</v>
      </c>
      <c r="E120" s="954">
        <v>103</v>
      </c>
      <c r="F120" s="923" t="s">
        <v>103</v>
      </c>
      <c r="G120" s="956" t="s">
        <v>1</v>
      </c>
      <c r="H120" s="731">
        <v>2000</v>
      </c>
      <c r="I120" s="731"/>
      <c r="J120" s="731"/>
      <c r="K120" s="726">
        <v>2000</v>
      </c>
      <c r="L120" s="726"/>
      <c r="M120" s="731">
        <v>2000</v>
      </c>
      <c r="N120" s="921"/>
      <c r="O120" s="921"/>
      <c r="P120" s="921">
        <v>2000</v>
      </c>
      <c r="Q120" s="779"/>
      <c r="R120" s="921"/>
      <c r="S120" s="731">
        <v>2000</v>
      </c>
      <c r="T120" s="780"/>
      <c r="U120" s="1015"/>
      <c r="V120" s="781">
        <f>H120+M120</f>
        <v>4000</v>
      </c>
      <c r="W120" s="957"/>
      <c r="X120" s="958"/>
      <c r="Z120" s="788">
        <f t="shared" si="32"/>
      </c>
      <c r="AA120" s="788">
        <f t="shared" si="33"/>
      </c>
      <c r="AB120" s="788">
        <f t="shared" si="34"/>
      </c>
    </row>
    <row r="121" spans="1:28" s="773" customFormat="1" ht="27.75" customHeight="1">
      <c r="A121" s="960">
        <v>4</v>
      </c>
      <c r="B121" s="965">
        <v>6</v>
      </c>
      <c r="C121" s="961">
        <v>1</v>
      </c>
      <c r="D121" s="828">
        <v>550</v>
      </c>
      <c r="E121" s="961">
        <v>103</v>
      </c>
      <c r="F121" s="924" t="s">
        <v>108</v>
      </c>
      <c r="G121" s="959" t="s">
        <v>169</v>
      </c>
      <c r="H121" s="728">
        <v>30259.32</v>
      </c>
      <c r="I121" s="728"/>
      <c r="J121" s="728"/>
      <c r="K121" s="728">
        <v>43000</v>
      </c>
      <c r="L121" s="728"/>
      <c r="M121" s="728">
        <v>43000</v>
      </c>
      <c r="N121" s="774"/>
      <c r="O121" s="774"/>
      <c r="P121" s="774">
        <v>43000</v>
      </c>
      <c r="Q121" s="774"/>
      <c r="R121" s="774"/>
      <c r="S121" s="728">
        <v>43000</v>
      </c>
      <c r="T121" s="777"/>
      <c r="U121" s="800"/>
      <c r="V121" s="797">
        <f>H121+M121</f>
        <v>73259.32</v>
      </c>
      <c r="W121" s="963"/>
      <c r="X121" s="964"/>
      <c r="Z121" s="788">
        <f t="shared" si="32"/>
      </c>
      <c r="AA121" s="788">
        <f t="shared" si="33"/>
      </c>
      <c r="AB121" s="788">
        <f t="shared" si="34"/>
      </c>
    </row>
    <row r="122" spans="1:28" s="853" customFormat="1" ht="21" customHeight="1" thickBot="1">
      <c r="A122" s="1339" t="s">
        <v>363</v>
      </c>
      <c r="B122" s="1340"/>
      <c r="C122" s="1340"/>
      <c r="D122" s="1340"/>
      <c r="E122" s="1340"/>
      <c r="F122" s="1340"/>
      <c r="G122" s="1341"/>
      <c r="H122" s="732">
        <f aca="true" t="shared" si="41" ref="H122:X122">SUM(H120:H121)</f>
        <v>32259.32</v>
      </c>
      <c r="I122" s="732">
        <f t="shared" si="41"/>
        <v>0</v>
      </c>
      <c r="J122" s="732">
        <f t="shared" si="41"/>
        <v>0</v>
      </c>
      <c r="K122" s="730">
        <f t="shared" si="41"/>
        <v>45000</v>
      </c>
      <c r="L122" s="730">
        <f t="shared" si="41"/>
        <v>0</v>
      </c>
      <c r="M122" s="730">
        <f t="shared" si="41"/>
        <v>45000</v>
      </c>
      <c r="N122" s="730">
        <f t="shared" si="41"/>
        <v>0</v>
      </c>
      <c r="O122" s="730">
        <f t="shared" si="41"/>
        <v>0</v>
      </c>
      <c r="P122" s="730">
        <f t="shared" si="41"/>
        <v>45000</v>
      </c>
      <c r="Q122" s="975">
        <f t="shared" si="41"/>
        <v>0</v>
      </c>
      <c r="R122" s="975">
        <f t="shared" si="41"/>
        <v>0</v>
      </c>
      <c r="S122" s="975">
        <f t="shared" si="41"/>
        <v>45000</v>
      </c>
      <c r="T122" s="975">
        <f t="shared" si="41"/>
        <v>0</v>
      </c>
      <c r="U122" s="975">
        <f t="shared" si="41"/>
        <v>0</v>
      </c>
      <c r="V122" s="837">
        <f t="shared" si="41"/>
        <v>77259.32</v>
      </c>
      <c r="W122" s="986">
        <f t="shared" si="41"/>
        <v>0</v>
      </c>
      <c r="X122" s="977">
        <f t="shared" si="41"/>
        <v>0</v>
      </c>
      <c r="Z122" s="788">
        <f t="shared" si="32"/>
      </c>
      <c r="AA122" s="788">
        <f t="shared" si="33"/>
      </c>
      <c r="AB122" s="788">
        <f t="shared" si="34"/>
      </c>
    </row>
    <row r="123" spans="1:32" s="853" customFormat="1" ht="21" customHeight="1" thickBot="1">
      <c r="A123" s="1336" t="s">
        <v>45</v>
      </c>
      <c r="B123" s="1337"/>
      <c r="C123" s="1337"/>
      <c r="D123" s="1337"/>
      <c r="E123" s="1337"/>
      <c r="F123" s="1337"/>
      <c r="G123" s="1338"/>
      <c r="H123" s="738">
        <f aca="true" t="shared" si="42" ref="H123:X123">H108+H119+H122</f>
        <v>88251.56</v>
      </c>
      <c r="I123" s="738">
        <f t="shared" si="42"/>
        <v>0</v>
      </c>
      <c r="J123" s="738">
        <f t="shared" si="42"/>
        <v>0</v>
      </c>
      <c r="K123" s="738">
        <f t="shared" si="42"/>
        <v>192538</v>
      </c>
      <c r="L123" s="738">
        <f t="shared" si="42"/>
        <v>28366.37</v>
      </c>
      <c r="M123" s="738">
        <f t="shared" si="42"/>
        <v>188906</v>
      </c>
      <c r="N123" s="738">
        <f t="shared" si="42"/>
        <v>0</v>
      </c>
      <c r="O123" s="738">
        <f t="shared" si="42"/>
        <v>0</v>
      </c>
      <c r="P123" s="738">
        <f t="shared" si="42"/>
        <v>188420</v>
      </c>
      <c r="Q123" s="738">
        <f t="shared" si="42"/>
        <v>0</v>
      </c>
      <c r="R123" s="738">
        <f t="shared" si="42"/>
        <v>0</v>
      </c>
      <c r="S123" s="738">
        <f t="shared" si="42"/>
        <v>187912</v>
      </c>
      <c r="T123" s="738">
        <f t="shared" si="42"/>
        <v>0</v>
      </c>
      <c r="U123" s="738">
        <f t="shared" si="42"/>
        <v>0</v>
      </c>
      <c r="V123" s="738">
        <f t="shared" si="42"/>
        <v>277157.56</v>
      </c>
      <c r="W123" s="738">
        <f t="shared" si="42"/>
        <v>0</v>
      </c>
      <c r="X123" s="738">
        <f t="shared" si="42"/>
        <v>0</v>
      </c>
      <c r="Z123" s="788">
        <f>IF(V123&gt;(H123+M123+N123),"ERRORE","")</f>
      </c>
      <c r="AA123" s="788">
        <f>IF(W123&gt;(H123+P123+Q123),"ERRORE","")</f>
      </c>
      <c r="AB123" s="788">
        <f>IF(X123&gt;(H123+S123+T123),"ERRORE","")</f>
      </c>
      <c r="AD123" s="854"/>
      <c r="AF123" s="854"/>
    </row>
    <row r="124" spans="1:28" s="853" customFormat="1" ht="21" customHeight="1" thickBot="1">
      <c r="A124" s="1336" t="s">
        <v>47</v>
      </c>
      <c r="B124" s="1337"/>
      <c r="C124" s="1337"/>
      <c r="D124" s="1337"/>
      <c r="E124" s="1337"/>
      <c r="F124" s="1337"/>
      <c r="G124" s="1338"/>
      <c r="H124" s="1342"/>
      <c r="I124" s="1343"/>
      <c r="J124" s="1343"/>
      <c r="K124" s="1343"/>
      <c r="L124" s="1343"/>
      <c r="M124" s="1343"/>
      <c r="N124" s="1343"/>
      <c r="O124" s="1343"/>
      <c r="P124" s="1343"/>
      <c r="Q124" s="1343"/>
      <c r="R124" s="1343"/>
      <c r="S124" s="1343"/>
      <c r="T124" s="1343"/>
      <c r="U124" s="1343"/>
      <c r="V124" s="1343"/>
      <c r="W124" s="1343"/>
      <c r="X124" s="1344"/>
      <c r="Z124" s="788">
        <f>IF(V124&gt;(H124+M124+N124),"ERRORE","")</f>
      </c>
      <c r="AA124" s="788">
        <f>IF(W124&gt;(H124+P124+Q124),"ERRORE","")</f>
      </c>
      <c r="AB124" s="788">
        <f>IF(X124&gt;(H124+S124+T124),"ERRORE","")</f>
      </c>
    </row>
    <row r="125" spans="1:28" s="773" customFormat="1" ht="27.75" customHeight="1">
      <c r="A125" s="953">
        <v>5</v>
      </c>
      <c r="B125" s="955">
        <v>2</v>
      </c>
      <c r="C125" s="954">
        <v>1</v>
      </c>
      <c r="D125" s="981">
        <v>600</v>
      </c>
      <c r="E125" s="954">
        <v>103</v>
      </c>
      <c r="F125" s="924" t="s">
        <v>99</v>
      </c>
      <c r="G125" s="956" t="s">
        <v>260</v>
      </c>
      <c r="H125" s="731">
        <v>3006.11</v>
      </c>
      <c r="I125" s="731"/>
      <c r="J125" s="731"/>
      <c r="K125" s="726">
        <f>5000+1800+2000</f>
        <v>8800</v>
      </c>
      <c r="L125" s="731"/>
      <c r="M125" s="731">
        <v>7000</v>
      </c>
      <c r="N125" s="921"/>
      <c r="O125" s="921"/>
      <c r="P125" s="921">
        <v>7000</v>
      </c>
      <c r="Q125" s="728"/>
      <c r="R125" s="780"/>
      <c r="S125" s="731">
        <v>7000</v>
      </c>
      <c r="T125" s="780"/>
      <c r="U125" s="958"/>
      <c r="V125" s="794">
        <f aca="true" t="shared" si="43" ref="V125:V130">H125+M125</f>
        <v>10006.11</v>
      </c>
      <c r="W125" s="957"/>
      <c r="X125" s="958"/>
      <c r="Z125" s="788">
        <f t="shared" si="32"/>
      </c>
      <c r="AA125" s="788">
        <f t="shared" si="33"/>
      </c>
      <c r="AB125" s="788">
        <f t="shared" si="34"/>
      </c>
    </row>
    <row r="126" spans="1:28" s="773" customFormat="1" ht="27.75" customHeight="1">
      <c r="A126" s="953">
        <v>5</v>
      </c>
      <c r="B126" s="955">
        <v>2</v>
      </c>
      <c r="C126" s="954">
        <v>1</v>
      </c>
      <c r="D126" s="985">
        <v>601</v>
      </c>
      <c r="E126" s="954">
        <v>103</v>
      </c>
      <c r="F126" s="923" t="s">
        <v>110</v>
      </c>
      <c r="G126" s="1001" t="s">
        <v>933</v>
      </c>
      <c r="H126" s="731">
        <v>0</v>
      </c>
      <c r="I126" s="731"/>
      <c r="J126" s="731"/>
      <c r="K126" s="726">
        <v>5100</v>
      </c>
      <c r="L126" s="731"/>
      <c r="M126" s="731">
        <v>0</v>
      </c>
      <c r="N126" s="921"/>
      <c r="O126" s="921"/>
      <c r="P126" s="921">
        <v>0</v>
      </c>
      <c r="Q126" s="728"/>
      <c r="R126" s="780"/>
      <c r="S126" s="731">
        <v>0</v>
      </c>
      <c r="T126" s="780"/>
      <c r="U126" s="958"/>
      <c r="V126" s="781">
        <f t="shared" si="43"/>
        <v>0</v>
      </c>
      <c r="W126" s="957"/>
      <c r="X126" s="958"/>
      <c r="Z126" s="788">
        <f>IF(V126&gt;(H126+M126+N126),"ERRORE","")</f>
      </c>
      <c r="AA126" s="788">
        <f>IF(W126&gt;(H126+P126+Q126),"ERRORE","")</f>
      </c>
      <c r="AB126" s="788">
        <f>IF(X126&gt;(H126+S126+T126),"ERRORE","")</f>
      </c>
    </row>
    <row r="127" spans="1:28" s="773" customFormat="1" ht="27.75" customHeight="1">
      <c r="A127" s="953">
        <v>5</v>
      </c>
      <c r="B127" s="955">
        <v>2</v>
      </c>
      <c r="C127" s="954">
        <v>1</v>
      </c>
      <c r="D127" s="985">
        <v>605</v>
      </c>
      <c r="E127" s="954">
        <v>103</v>
      </c>
      <c r="F127" s="923" t="s">
        <v>110</v>
      </c>
      <c r="G127" s="956" t="s">
        <v>261</v>
      </c>
      <c r="H127" s="731">
        <v>8803.98</v>
      </c>
      <c r="I127" s="731"/>
      <c r="J127" s="731"/>
      <c r="K127" s="726">
        <f>20000+1000</f>
        <v>21000</v>
      </c>
      <c r="L127" s="731"/>
      <c r="M127" s="731">
        <v>20000</v>
      </c>
      <c r="N127" s="921"/>
      <c r="O127" s="921"/>
      <c r="P127" s="921">
        <v>20000</v>
      </c>
      <c r="Q127" s="728"/>
      <c r="R127" s="780"/>
      <c r="S127" s="731">
        <v>20000</v>
      </c>
      <c r="T127" s="780"/>
      <c r="U127" s="958"/>
      <c r="V127" s="781">
        <f t="shared" si="43"/>
        <v>28803.98</v>
      </c>
      <c r="W127" s="957"/>
      <c r="X127" s="958"/>
      <c r="Z127" s="788">
        <f t="shared" si="32"/>
      </c>
      <c r="AA127" s="788">
        <f t="shared" si="33"/>
      </c>
      <c r="AB127" s="788">
        <f t="shared" si="34"/>
      </c>
    </row>
    <row r="128" spans="1:28" s="773" customFormat="1" ht="27.75" customHeight="1">
      <c r="A128" s="953">
        <v>5</v>
      </c>
      <c r="B128" s="955">
        <v>2</v>
      </c>
      <c r="C128" s="954">
        <v>1</v>
      </c>
      <c r="D128" s="981" t="s">
        <v>698</v>
      </c>
      <c r="E128" s="954">
        <v>103</v>
      </c>
      <c r="F128" s="923" t="s">
        <v>987</v>
      </c>
      <c r="G128" s="1001" t="s">
        <v>699</v>
      </c>
      <c r="H128" s="731">
        <v>8705.5</v>
      </c>
      <c r="I128" s="731"/>
      <c r="J128" s="731"/>
      <c r="K128" s="726">
        <v>24220</v>
      </c>
      <c r="L128" s="731"/>
      <c r="M128" s="731">
        <v>24220</v>
      </c>
      <c r="N128" s="921"/>
      <c r="O128" s="921"/>
      <c r="P128" s="921">
        <v>24220</v>
      </c>
      <c r="Q128" s="728"/>
      <c r="R128" s="780"/>
      <c r="S128" s="731">
        <v>24220</v>
      </c>
      <c r="T128" s="780"/>
      <c r="U128" s="958"/>
      <c r="V128" s="794">
        <f t="shared" si="43"/>
        <v>32925.5</v>
      </c>
      <c r="W128" s="1019"/>
      <c r="X128" s="1020"/>
      <c r="Z128" s="788">
        <f t="shared" si="32"/>
      </c>
      <c r="AA128" s="788">
        <f t="shared" si="33"/>
      </c>
      <c r="AB128" s="788">
        <f t="shared" si="34"/>
      </c>
    </row>
    <row r="129" spans="1:28" s="773" customFormat="1" ht="27.75" customHeight="1">
      <c r="A129" s="960">
        <v>5</v>
      </c>
      <c r="B129" s="965">
        <v>2</v>
      </c>
      <c r="C129" s="961">
        <v>1</v>
      </c>
      <c r="D129" s="828">
        <v>610</v>
      </c>
      <c r="E129" s="961">
        <v>103</v>
      </c>
      <c r="F129" s="924" t="s">
        <v>912</v>
      </c>
      <c r="G129" s="970" t="s">
        <v>608</v>
      </c>
      <c r="H129" s="728">
        <v>2878.43</v>
      </c>
      <c r="I129" s="728"/>
      <c r="J129" s="728"/>
      <c r="K129" s="728">
        <v>8000</v>
      </c>
      <c r="L129" s="728"/>
      <c r="M129" s="728">
        <v>8000</v>
      </c>
      <c r="N129" s="774"/>
      <c r="O129" s="774"/>
      <c r="P129" s="774">
        <v>8000</v>
      </c>
      <c r="Q129" s="728"/>
      <c r="R129" s="777"/>
      <c r="S129" s="728">
        <v>8000</v>
      </c>
      <c r="T129" s="777"/>
      <c r="U129" s="964"/>
      <c r="V129" s="794">
        <f t="shared" si="43"/>
        <v>10878.43</v>
      </c>
      <c r="W129" s="1081"/>
      <c r="X129" s="964"/>
      <c r="Z129" s="788">
        <f t="shared" si="32"/>
      </c>
      <c r="AA129" s="788">
        <f t="shared" si="33"/>
      </c>
      <c r="AB129" s="788">
        <f t="shared" si="34"/>
      </c>
    </row>
    <row r="130" spans="1:28" s="773" customFormat="1" ht="27.75" customHeight="1">
      <c r="A130" s="1005">
        <v>5</v>
      </c>
      <c r="B130" s="979">
        <v>2</v>
      </c>
      <c r="C130" s="972">
        <v>1</v>
      </c>
      <c r="D130" s="1021">
        <v>620</v>
      </c>
      <c r="E130" s="972">
        <v>104</v>
      </c>
      <c r="F130" s="923" t="s">
        <v>100</v>
      </c>
      <c r="G130" s="974" t="s">
        <v>262</v>
      </c>
      <c r="H130" s="740">
        <v>570</v>
      </c>
      <c r="I130" s="740"/>
      <c r="J130" s="740"/>
      <c r="K130" s="740">
        <v>4000</v>
      </c>
      <c r="L130" s="740"/>
      <c r="M130" s="740">
        <v>4000</v>
      </c>
      <c r="N130" s="922"/>
      <c r="O130" s="922"/>
      <c r="P130" s="922">
        <v>4000</v>
      </c>
      <c r="Q130" s="740"/>
      <c r="R130" s="935"/>
      <c r="S130" s="740">
        <v>4000</v>
      </c>
      <c r="T130" s="935"/>
      <c r="U130" s="1018"/>
      <c r="V130" s="781">
        <f t="shared" si="43"/>
        <v>4570</v>
      </c>
      <c r="W130" s="1019"/>
      <c r="X130" s="1020"/>
      <c r="Z130" s="788">
        <f t="shared" si="32"/>
      </c>
      <c r="AA130" s="788">
        <f t="shared" si="33"/>
      </c>
      <c r="AB130" s="788">
        <f t="shared" si="34"/>
      </c>
    </row>
    <row r="131" spans="1:28" s="773" customFormat="1" ht="35.25" customHeight="1" thickBot="1">
      <c r="A131" s="1331" t="s">
        <v>46</v>
      </c>
      <c r="B131" s="1332"/>
      <c r="C131" s="1332"/>
      <c r="D131" s="1332"/>
      <c r="E131" s="1332"/>
      <c r="F131" s="1332"/>
      <c r="G131" s="1333"/>
      <c r="H131" s="732">
        <f aca="true" t="shared" si="44" ref="H131:X131">SUM(H125:H130)</f>
        <v>23964.02</v>
      </c>
      <c r="I131" s="732">
        <f t="shared" si="44"/>
        <v>0</v>
      </c>
      <c r="J131" s="732">
        <f t="shared" si="44"/>
        <v>0</v>
      </c>
      <c r="K131" s="732">
        <f t="shared" si="44"/>
        <v>71120</v>
      </c>
      <c r="L131" s="732">
        <f t="shared" si="44"/>
        <v>0</v>
      </c>
      <c r="M131" s="732">
        <f t="shared" si="44"/>
        <v>63220</v>
      </c>
      <c r="N131" s="732">
        <f t="shared" si="44"/>
        <v>0</v>
      </c>
      <c r="O131" s="732">
        <f t="shared" si="44"/>
        <v>0</v>
      </c>
      <c r="P131" s="732">
        <f t="shared" si="44"/>
        <v>63220</v>
      </c>
      <c r="Q131" s="767">
        <f t="shared" si="44"/>
        <v>0</v>
      </c>
      <c r="R131" s="767">
        <f t="shared" si="44"/>
        <v>0</v>
      </c>
      <c r="S131" s="767">
        <f t="shared" si="44"/>
        <v>63220</v>
      </c>
      <c r="T131" s="767">
        <f t="shared" si="44"/>
        <v>0</v>
      </c>
      <c r="U131" s="767">
        <f t="shared" si="44"/>
        <v>0</v>
      </c>
      <c r="V131" s="768">
        <f t="shared" si="44"/>
        <v>87184.01999999999</v>
      </c>
      <c r="W131" s="983">
        <f t="shared" si="44"/>
        <v>0</v>
      </c>
      <c r="X131" s="984">
        <f t="shared" si="44"/>
        <v>0</v>
      </c>
      <c r="Z131" s="788">
        <f t="shared" si="32"/>
      </c>
      <c r="AA131" s="788">
        <f t="shared" si="33"/>
      </c>
      <c r="AB131" s="788">
        <f t="shared" si="34"/>
      </c>
    </row>
    <row r="132" spans="1:32" s="853" customFormat="1" ht="21" customHeight="1" thickBot="1">
      <c r="A132" s="1336" t="s">
        <v>48</v>
      </c>
      <c r="B132" s="1337"/>
      <c r="C132" s="1337"/>
      <c r="D132" s="1337"/>
      <c r="E132" s="1337"/>
      <c r="F132" s="1337"/>
      <c r="G132" s="1338"/>
      <c r="H132" s="738">
        <f>H131</f>
        <v>23964.02</v>
      </c>
      <c r="I132" s="738">
        <f aca="true" t="shared" si="45" ref="I132:N132">I131</f>
        <v>0</v>
      </c>
      <c r="J132" s="738">
        <f t="shared" si="45"/>
        <v>0</v>
      </c>
      <c r="K132" s="738">
        <f t="shared" si="45"/>
        <v>71120</v>
      </c>
      <c r="L132" s="738">
        <f t="shared" si="45"/>
        <v>0</v>
      </c>
      <c r="M132" s="738">
        <f t="shared" si="45"/>
        <v>63220</v>
      </c>
      <c r="N132" s="738">
        <f t="shared" si="45"/>
        <v>0</v>
      </c>
      <c r="O132" s="738">
        <f aca="true" t="shared" si="46" ref="O132:X132">O131</f>
        <v>0</v>
      </c>
      <c r="P132" s="738">
        <f t="shared" si="46"/>
        <v>63220</v>
      </c>
      <c r="Q132" s="738">
        <f t="shared" si="46"/>
        <v>0</v>
      </c>
      <c r="R132" s="738">
        <f t="shared" si="46"/>
        <v>0</v>
      </c>
      <c r="S132" s="738">
        <f t="shared" si="46"/>
        <v>63220</v>
      </c>
      <c r="T132" s="738">
        <f t="shared" si="46"/>
        <v>0</v>
      </c>
      <c r="U132" s="738">
        <f t="shared" si="46"/>
        <v>0</v>
      </c>
      <c r="V132" s="738">
        <f t="shared" si="46"/>
        <v>87184.01999999999</v>
      </c>
      <c r="W132" s="1016">
        <f t="shared" si="46"/>
        <v>0</v>
      </c>
      <c r="X132" s="738">
        <f t="shared" si="46"/>
        <v>0</v>
      </c>
      <c r="Z132" s="788">
        <f t="shared" si="32"/>
      </c>
      <c r="AA132" s="788">
        <f t="shared" si="33"/>
      </c>
      <c r="AB132" s="788">
        <f t="shared" si="34"/>
      </c>
      <c r="AD132" s="854"/>
      <c r="AF132" s="854"/>
    </row>
    <row r="133" spans="1:28" s="853" customFormat="1" ht="21" customHeight="1" thickBot="1">
      <c r="A133" s="1336" t="s">
        <v>49</v>
      </c>
      <c r="B133" s="1337"/>
      <c r="C133" s="1337"/>
      <c r="D133" s="1337"/>
      <c r="E133" s="1337"/>
      <c r="F133" s="1337"/>
      <c r="G133" s="1338"/>
      <c r="H133" s="1342"/>
      <c r="I133" s="1343"/>
      <c r="J133" s="1343"/>
      <c r="K133" s="1343"/>
      <c r="L133" s="1343"/>
      <c r="M133" s="1343"/>
      <c r="N133" s="1343"/>
      <c r="O133" s="1343"/>
      <c r="P133" s="1343"/>
      <c r="Q133" s="1343"/>
      <c r="R133" s="1343"/>
      <c r="S133" s="1343"/>
      <c r="T133" s="1343"/>
      <c r="U133" s="1343"/>
      <c r="V133" s="1343"/>
      <c r="W133" s="1343"/>
      <c r="X133" s="1344"/>
      <c r="Z133" s="788">
        <f t="shared" si="32"/>
      </c>
      <c r="AA133" s="788">
        <f t="shared" si="33"/>
      </c>
      <c r="AB133" s="788">
        <f t="shared" si="34"/>
      </c>
    </row>
    <row r="134" spans="1:28" s="773" customFormat="1" ht="27.75" customHeight="1">
      <c r="A134" s="953">
        <v>6</v>
      </c>
      <c r="B134" s="955">
        <v>1</v>
      </c>
      <c r="C134" s="954">
        <v>1</v>
      </c>
      <c r="D134" s="981">
        <v>630</v>
      </c>
      <c r="E134" s="954">
        <v>103</v>
      </c>
      <c r="F134" s="923" t="s">
        <v>107</v>
      </c>
      <c r="G134" s="956" t="s">
        <v>263</v>
      </c>
      <c r="H134" s="731">
        <v>20697.22</v>
      </c>
      <c r="I134" s="731"/>
      <c r="J134" s="731"/>
      <c r="K134" s="731">
        <v>30000</v>
      </c>
      <c r="L134" s="731"/>
      <c r="M134" s="921">
        <v>30000</v>
      </c>
      <c r="N134" s="921"/>
      <c r="O134" s="921"/>
      <c r="P134" s="731">
        <v>30000</v>
      </c>
      <c r="Q134" s="779"/>
      <c r="R134" s="921"/>
      <c r="S134" s="731">
        <v>30000</v>
      </c>
      <c r="T134" s="780"/>
      <c r="U134" s="1015"/>
      <c r="V134" s="1099">
        <f>H134+M134</f>
        <v>50697.22</v>
      </c>
      <c r="W134" s="957"/>
      <c r="X134" s="958"/>
      <c r="Z134" s="788">
        <f t="shared" si="32"/>
      </c>
      <c r="AA134" s="788">
        <f t="shared" si="33"/>
      </c>
      <c r="AB134" s="788">
        <f t="shared" si="34"/>
      </c>
    </row>
    <row r="135" spans="1:28" s="773" customFormat="1" ht="27.75" customHeight="1">
      <c r="A135" s="1005">
        <v>6</v>
      </c>
      <c r="B135" s="967">
        <v>1</v>
      </c>
      <c r="C135" s="783">
        <v>1</v>
      </c>
      <c r="D135" s="827">
        <v>645</v>
      </c>
      <c r="E135" s="783">
        <v>107</v>
      </c>
      <c r="F135" s="784" t="s">
        <v>124</v>
      </c>
      <c r="G135" s="980" t="s">
        <v>341</v>
      </c>
      <c r="H135" s="729">
        <v>1956.26</v>
      </c>
      <c r="I135" s="729"/>
      <c r="J135" s="729"/>
      <c r="K135" s="729">
        <v>3976</v>
      </c>
      <c r="L135" s="729"/>
      <c r="M135" s="775">
        <v>3720</v>
      </c>
      <c r="N135" s="775"/>
      <c r="O135" s="775"/>
      <c r="P135" s="729">
        <v>3450</v>
      </c>
      <c r="Q135" s="798"/>
      <c r="R135" s="775"/>
      <c r="S135" s="729">
        <v>3167</v>
      </c>
      <c r="T135" s="799"/>
      <c r="U135" s="800"/>
      <c r="V135" s="791">
        <f>H135+M135</f>
        <v>5676.26</v>
      </c>
      <c r="W135" s="968"/>
      <c r="X135" s="969"/>
      <c r="Z135" s="788">
        <f>IF(V135&gt;(H135+M135+N135),"ERRORE","")</f>
      </c>
      <c r="AA135" s="788">
        <f>IF(W135&gt;(H135+P135+Q135),"ERRORE","")</f>
      </c>
      <c r="AB135" s="788">
        <f>IF(X135&gt;(H135+S135+T135),"ERRORE","")</f>
      </c>
    </row>
    <row r="136" spans="1:28" s="773" customFormat="1" ht="27.75" customHeight="1">
      <c r="A136" s="960">
        <v>6</v>
      </c>
      <c r="B136" s="965">
        <v>1</v>
      </c>
      <c r="C136" s="961">
        <v>1</v>
      </c>
      <c r="D136" s="828">
        <v>650</v>
      </c>
      <c r="E136" s="961">
        <v>104</v>
      </c>
      <c r="F136" s="924" t="s">
        <v>100</v>
      </c>
      <c r="G136" s="966" t="s">
        <v>657</v>
      </c>
      <c r="H136" s="728">
        <v>210</v>
      </c>
      <c r="I136" s="728"/>
      <c r="J136" s="728"/>
      <c r="K136" s="728">
        <v>1000</v>
      </c>
      <c r="L136" s="728"/>
      <c r="M136" s="774">
        <v>1000</v>
      </c>
      <c r="N136" s="774"/>
      <c r="O136" s="774"/>
      <c r="P136" s="728">
        <v>1000</v>
      </c>
      <c r="Q136" s="774"/>
      <c r="R136" s="774"/>
      <c r="S136" s="728">
        <v>1000</v>
      </c>
      <c r="T136" s="777"/>
      <c r="U136" s="964"/>
      <c r="V136" s="791">
        <f>H136+M136</f>
        <v>1210</v>
      </c>
      <c r="W136" s="963"/>
      <c r="X136" s="964"/>
      <c r="Z136" s="788">
        <f t="shared" si="32"/>
      </c>
      <c r="AA136" s="788">
        <f t="shared" si="33"/>
      </c>
      <c r="AB136" s="788">
        <f t="shared" si="34"/>
      </c>
    </row>
    <row r="137" spans="1:28" s="853" customFormat="1" ht="25.5" customHeight="1">
      <c r="A137" s="1339" t="s">
        <v>50</v>
      </c>
      <c r="B137" s="1340"/>
      <c r="C137" s="1340"/>
      <c r="D137" s="1340"/>
      <c r="E137" s="1340"/>
      <c r="F137" s="1340"/>
      <c r="G137" s="1341"/>
      <c r="H137" s="732">
        <f aca="true" t="shared" si="47" ref="H137:X137">SUM(H134:H136)</f>
        <v>22863.48</v>
      </c>
      <c r="I137" s="732">
        <f t="shared" si="47"/>
        <v>0</v>
      </c>
      <c r="J137" s="732">
        <f t="shared" si="47"/>
        <v>0</v>
      </c>
      <c r="K137" s="730">
        <f t="shared" si="47"/>
        <v>34976</v>
      </c>
      <c r="L137" s="730">
        <f t="shared" si="47"/>
        <v>0</v>
      </c>
      <c r="M137" s="730">
        <f t="shared" si="47"/>
        <v>34720</v>
      </c>
      <c r="N137" s="730">
        <f t="shared" si="47"/>
        <v>0</v>
      </c>
      <c r="O137" s="730">
        <f t="shared" si="47"/>
        <v>0</v>
      </c>
      <c r="P137" s="730">
        <f t="shared" si="47"/>
        <v>34450</v>
      </c>
      <c r="Q137" s="975">
        <f t="shared" si="47"/>
        <v>0</v>
      </c>
      <c r="R137" s="975">
        <f t="shared" si="47"/>
        <v>0</v>
      </c>
      <c r="S137" s="975">
        <f t="shared" si="47"/>
        <v>34167</v>
      </c>
      <c r="T137" s="975">
        <f t="shared" si="47"/>
        <v>0</v>
      </c>
      <c r="U137" s="975">
        <f t="shared" si="47"/>
        <v>0</v>
      </c>
      <c r="V137" s="833">
        <f t="shared" si="47"/>
        <v>57583.48</v>
      </c>
      <c r="W137" s="986">
        <f t="shared" si="47"/>
        <v>0</v>
      </c>
      <c r="X137" s="977">
        <f t="shared" si="47"/>
        <v>0</v>
      </c>
      <c r="Z137" s="788">
        <f t="shared" si="32"/>
      </c>
      <c r="AA137" s="788">
        <f t="shared" si="33"/>
      </c>
      <c r="AB137" s="788">
        <f t="shared" si="34"/>
      </c>
    </row>
    <row r="138" spans="1:28" s="773" customFormat="1" ht="27.75" customHeight="1" hidden="1">
      <c r="A138" s="953"/>
      <c r="B138" s="955"/>
      <c r="C138" s="954"/>
      <c r="D138" s="985"/>
      <c r="E138" s="954"/>
      <c r="F138" s="923"/>
      <c r="G138" s="959"/>
      <c r="H138" s="731"/>
      <c r="I138" s="731"/>
      <c r="J138" s="731"/>
      <c r="K138" s="731"/>
      <c r="L138" s="731"/>
      <c r="M138" s="731"/>
      <c r="N138" s="921"/>
      <c r="O138" s="921"/>
      <c r="P138" s="921"/>
      <c r="Q138" s="936"/>
      <c r="R138" s="921"/>
      <c r="S138" s="731"/>
      <c r="T138" s="780"/>
      <c r="U138" s="1015"/>
      <c r="V138" s="781"/>
      <c r="W138" s="957"/>
      <c r="X138" s="958"/>
      <c r="Z138" s="788">
        <f t="shared" si="32"/>
      </c>
      <c r="AA138" s="788">
        <f t="shared" si="33"/>
      </c>
      <c r="AB138" s="788">
        <f t="shared" si="34"/>
      </c>
    </row>
    <row r="139" spans="1:28" s="773" customFormat="1" ht="27.75" customHeight="1" hidden="1">
      <c r="A139" s="953"/>
      <c r="B139" s="955"/>
      <c r="C139" s="954"/>
      <c r="D139" s="985"/>
      <c r="E139" s="954"/>
      <c r="F139" s="924"/>
      <c r="G139" s="959"/>
      <c r="H139" s="731"/>
      <c r="I139" s="731"/>
      <c r="J139" s="731"/>
      <c r="K139" s="731"/>
      <c r="L139" s="731"/>
      <c r="M139" s="731"/>
      <c r="N139" s="921"/>
      <c r="O139" s="921"/>
      <c r="P139" s="921"/>
      <c r="Q139" s="728"/>
      <c r="R139" s="921"/>
      <c r="S139" s="731"/>
      <c r="T139" s="780"/>
      <c r="U139" s="958"/>
      <c r="V139" s="781"/>
      <c r="W139" s="957"/>
      <c r="X139" s="958"/>
      <c r="Z139" s="788">
        <f t="shared" si="32"/>
      </c>
      <c r="AA139" s="788">
        <f t="shared" si="33"/>
      </c>
      <c r="AB139" s="788">
        <f t="shared" si="34"/>
      </c>
    </row>
    <row r="140" spans="1:28" s="773" customFormat="1" ht="27.75" customHeight="1" hidden="1">
      <c r="A140" s="953"/>
      <c r="B140" s="955"/>
      <c r="C140" s="954"/>
      <c r="D140" s="985"/>
      <c r="E140" s="954"/>
      <c r="F140" s="924"/>
      <c r="G140" s="959"/>
      <c r="H140" s="731"/>
      <c r="I140" s="731"/>
      <c r="J140" s="731"/>
      <c r="K140" s="731"/>
      <c r="L140" s="731"/>
      <c r="M140" s="731"/>
      <c r="N140" s="921"/>
      <c r="O140" s="921"/>
      <c r="P140" s="921"/>
      <c r="Q140" s="728"/>
      <c r="R140" s="780"/>
      <c r="S140" s="731"/>
      <c r="T140" s="780"/>
      <c r="U140" s="958"/>
      <c r="V140" s="781"/>
      <c r="W140" s="957"/>
      <c r="X140" s="958"/>
      <c r="Z140" s="788">
        <f t="shared" si="32"/>
      </c>
      <c r="AA140" s="788">
        <f t="shared" si="33"/>
      </c>
      <c r="AB140" s="788">
        <f t="shared" si="34"/>
      </c>
    </row>
    <row r="141" spans="1:28" s="773" customFormat="1" ht="27.75" customHeight="1" hidden="1">
      <c r="A141" s="953"/>
      <c r="B141" s="955"/>
      <c r="C141" s="954"/>
      <c r="D141" s="985"/>
      <c r="E141" s="954"/>
      <c r="F141" s="924"/>
      <c r="G141" s="956"/>
      <c r="H141" s="731"/>
      <c r="I141" s="731"/>
      <c r="J141" s="731"/>
      <c r="K141" s="731"/>
      <c r="L141" s="731"/>
      <c r="M141" s="731"/>
      <c r="N141" s="921"/>
      <c r="O141" s="921"/>
      <c r="P141" s="921"/>
      <c r="Q141" s="728"/>
      <c r="R141" s="780"/>
      <c r="S141" s="731"/>
      <c r="T141" s="780"/>
      <c r="U141" s="958"/>
      <c r="V141" s="781"/>
      <c r="W141" s="957"/>
      <c r="X141" s="958"/>
      <c r="Z141" s="788">
        <f t="shared" si="32"/>
      </c>
      <c r="AA141" s="788">
        <f t="shared" si="33"/>
      </c>
      <c r="AB141" s="788">
        <f t="shared" si="34"/>
      </c>
    </row>
    <row r="142" spans="1:28" s="773" customFormat="1" ht="27.75" customHeight="1" hidden="1">
      <c r="A142" s="953"/>
      <c r="B142" s="955"/>
      <c r="C142" s="954"/>
      <c r="D142" s="985"/>
      <c r="E142" s="954"/>
      <c r="F142" s="923"/>
      <c r="G142" s="956"/>
      <c r="H142" s="731"/>
      <c r="I142" s="731"/>
      <c r="J142" s="731"/>
      <c r="K142" s="731"/>
      <c r="L142" s="731"/>
      <c r="M142" s="731"/>
      <c r="N142" s="921"/>
      <c r="O142" s="921"/>
      <c r="P142" s="921"/>
      <c r="Q142" s="728"/>
      <c r="R142" s="780"/>
      <c r="S142" s="731"/>
      <c r="T142" s="780"/>
      <c r="U142" s="958"/>
      <c r="V142" s="781"/>
      <c r="W142" s="957"/>
      <c r="X142" s="958"/>
      <c r="Z142" s="788">
        <f t="shared" si="32"/>
      </c>
      <c r="AA142" s="788">
        <f t="shared" si="33"/>
      </c>
      <c r="AB142" s="788">
        <f t="shared" si="34"/>
      </c>
    </row>
    <row r="143" spans="1:28" s="773" customFormat="1" ht="27.75" customHeight="1" hidden="1">
      <c r="A143" s="1005"/>
      <c r="B143" s="979"/>
      <c r="C143" s="972"/>
      <c r="D143" s="1021"/>
      <c r="E143" s="972"/>
      <c r="F143" s="924"/>
      <c r="G143" s="974"/>
      <c r="H143" s="740"/>
      <c r="I143" s="740"/>
      <c r="J143" s="740"/>
      <c r="K143" s="740"/>
      <c r="L143" s="740"/>
      <c r="M143" s="740"/>
      <c r="N143" s="922"/>
      <c r="O143" s="922"/>
      <c r="P143" s="922"/>
      <c r="Q143" s="729"/>
      <c r="R143" s="935"/>
      <c r="S143" s="740"/>
      <c r="T143" s="935"/>
      <c r="U143" s="1018"/>
      <c r="V143" s="839"/>
      <c r="W143" s="1019"/>
      <c r="X143" s="1020"/>
      <c r="Z143" s="788">
        <f t="shared" si="32"/>
      </c>
      <c r="AA143" s="788">
        <f t="shared" si="33"/>
      </c>
      <c r="AB143" s="788">
        <f t="shared" si="34"/>
      </c>
    </row>
    <row r="144" spans="1:28" s="853" customFormat="1" ht="27" customHeight="1" thickBot="1">
      <c r="A144" s="1390" t="s">
        <v>51</v>
      </c>
      <c r="B144" s="1332"/>
      <c r="C144" s="1332"/>
      <c r="D144" s="1332"/>
      <c r="E144" s="1332"/>
      <c r="F144" s="1332"/>
      <c r="G144" s="1333"/>
      <c r="H144" s="730">
        <f aca="true" t="shared" si="48" ref="H144:S144">SUM(H138:H143)</f>
        <v>0</v>
      </c>
      <c r="I144" s="730">
        <f t="shared" si="48"/>
        <v>0</v>
      </c>
      <c r="J144" s="730">
        <f t="shared" si="48"/>
        <v>0</v>
      </c>
      <c r="K144" s="730">
        <f t="shared" si="48"/>
        <v>0</v>
      </c>
      <c r="L144" s="730">
        <f t="shared" si="48"/>
        <v>0</v>
      </c>
      <c r="M144" s="730">
        <f t="shared" si="48"/>
        <v>0</v>
      </c>
      <c r="N144" s="730">
        <f t="shared" si="48"/>
        <v>0</v>
      </c>
      <c r="O144" s="730">
        <f t="shared" si="48"/>
        <v>0</v>
      </c>
      <c r="P144" s="730">
        <f t="shared" si="48"/>
        <v>0</v>
      </c>
      <c r="Q144" s="730">
        <f t="shared" si="48"/>
        <v>0</v>
      </c>
      <c r="R144" s="730">
        <f t="shared" si="48"/>
        <v>0</v>
      </c>
      <c r="S144" s="730">
        <f t="shared" si="48"/>
        <v>0</v>
      </c>
      <c r="T144" s="730">
        <f>SUM(T138:T143)</f>
        <v>0</v>
      </c>
      <c r="U144" s="975">
        <f>SUM(U138:U143)</f>
        <v>0</v>
      </c>
      <c r="V144" s="833">
        <f>SUM(V138:V143)</f>
        <v>0</v>
      </c>
      <c r="W144" s="976">
        <f>SUM(W138:W143)</f>
        <v>0</v>
      </c>
      <c r="X144" s="977">
        <f>SUM(X138:X143)</f>
        <v>0</v>
      </c>
      <c r="Y144" s="978"/>
      <c r="Z144" s="788">
        <f t="shared" si="32"/>
      </c>
      <c r="AA144" s="788">
        <f t="shared" si="33"/>
      </c>
      <c r="AB144" s="788">
        <f t="shared" si="34"/>
      </c>
    </row>
    <row r="145" spans="1:32" s="853" customFormat="1" ht="21" customHeight="1" thickBot="1">
      <c r="A145" s="1336" t="s">
        <v>52</v>
      </c>
      <c r="B145" s="1337"/>
      <c r="C145" s="1337"/>
      <c r="D145" s="1337"/>
      <c r="E145" s="1337"/>
      <c r="F145" s="1337"/>
      <c r="G145" s="1338"/>
      <c r="H145" s="738">
        <f>H137+H144</f>
        <v>22863.48</v>
      </c>
      <c r="I145" s="738">
        <f aca="true" t="shared" si="49" ref="I145:O145">I137+I144</f>
        <v>0</v>
      </c>
      <c r="J145" s="738">
        <f t="shared" si="49"/>
        <v>0</v>
      </c>
      <c r="K145" s="738">
        <f t="shared" si="49"/>
        <v>34976</v>
      </c>
      <c r="L145" s="738">
        <f t="shared" si="49"/>
        <v>0</v>
      </c>
      <c r="M145" s="738">
        <f t="shared" si="49"/>
        <v>34720</v>
      </c>
      <c r="N145" s="738">
        <f t="shared" si="49"/>
        <v>0</v>
      </c>
      <c r="O145" s="738">
        <f t="shared" si="49"/>
        <v>0</v>
      </c>
      <c r="P145" s="738">
        <f aca="true" t="shared" si="50" ref="P145:X145">P137+P144</f>
        <v>34450</v>
      </c>
      <c r="Q145" s="738">
        <f t="shared" si="50"/>
        <v>0</v>
      </c>
      <c r="R145" s="738">
        <f t="shared" si="50"/>
        <v>0</v>
      </c>
      <c r="S145" s="738">
        <f t="shared" si="50"/>
        <v>34167</v>
      </c>
      <c r="T145" s="738">
        <f t="shared" si="50"/>
        <v>0</v>
      </c>
      <c r="U145" s="738">
        <f t="shared" si="50"/>
        <v>0</v>
      </c>
      <c r="V145" s="738">
        <f t="shared" si="50"/>
        <v>57583.48</v>
      </c>
      <c r="W145" s="1016">
        <f t="shared" si="50"/>
        <v>0</v>
      </c>
      <c r="X145" s="738">
        <f t="shared" si="50"/>
        <v>0</v>
      </c>
      <c r="Z145" s="788">
        <f>IF(V145&gt;(H145+M145+N145),"ERRORE","")</f>
      </c>
      <c r="AA145" s="788">
        <f>IF(W145&gt;(H145+P145+Q145),"ERRORE","")</f>
      </c>
      <c r="AB145" s="788">
        <f>IF(X145&gt;(H145+S145+T145),"ERRORE","")</f>
      </c>
      <c r="AD145" s="854"/>
      <c r="AF145" s="854"/>
    </row>
    <row r="146" spans="1:28" s="853" customFormat="1" ht="21" customHeight="1" thickBot="1">
      <c r="A146" s="1336" t="s">
        <v>53</v>
      </c>
      <c r="B146" s="1337"/>
      <c r="C146" s="1337"/>
      <c r="D146" s="1337"/>
      <c r="E146" s="1337"/>
      <c r="F146" s="1337"/>
      <c r="G146" s="1338"/>
      <c r="H146" s="1342"/>
      <c r="I146" s="1343"/>
      <c r="J146" s="1343"/>
      <c r="K146" s="1343"/>
      <c r="L146" s="1343"/>
      <c r="M146" s="1343"/>
      <c r="N146" s="1343"/>
      <c r="O146" s="1343"/>
      <c r="P146" s="1343"/>
      <c r="Q146" s="1343"/>
      <c r="R146" s="1343"/>
      <c r="S146" s="1343"/>
      <c r="T146" s="1343"/>
      <c r="U146" s="1343"/>
      <c r="V146" s="1343"/>
      <c r="W146" s="1343"/>
      <c r="X146" s="1344"/>
      <c r="Z146" s="788">
        <f>IF(V146&gt;(H146+M146+N146),"ERRORE","")</f>
      </c>
      <c r="AA146" s="788">
        <f>IF(W146&gt;(H146+P146+Q146),"ERRORE","")</f>
      </c>
      <c r="AB146" s="788">
        <f>IF(X146&gt;(H146+S146+T146),"ERRORE","")</f>
      </c>
    </row>
    <row r="147" spans="1:28" s="773" customFormat="1" ht="27.75" customHeight="1">
      <c r="A147" s="960">
        <v>8</v>
      </c>
      <c r="B147" s="965">
        <v>1</v>
      </c>
      <c r="C147" s="961">
        <v>1</v>
      </c>
      <c r="D147" s="962">
        <v>767</v>
      </c>
      <c r="E147" s="961">
        <v>103</v>
      </c>
      <c r="F147" s="924" t="s">
        <v>103</v>
      </c>
      <c r="G147" s="959" t="s">
        <v>265</v>
      </c>
      <c r="H147" s="728">
        <v>24095.96</v>
      </c>
      <c r="I147" s="728"/>
      <c r="J147" s="728"/>
      <c r="K147" s="728">
        <f>7000+3000+3075</f>
        <v>13075</v>
      </c>
      <c r="L147" s="728">
        <v>8148.1</v>
      </c>
      <c r="M147" s="727">
        <v>5000</v>
      </c>
      <c r="N147" s="795"/>
      <c r="O147" s="795"/>
      <c r="P147" s="795">
        <v>5000</v>
      </c>
      <c r="Q147" s="795"/>
      <c r="R147" s="795"/>
      <c r="S147" s="727">
        <v>5000</v>
      </c>
      <c r="T147" s="777"/>
      <c r="U147" s="779"/>
      <c r="V147" s="832">
        <f>H147+M147</f>
        <v>29095.96</v>
      </c>
      <c r="W147" s="963"/>
      <c r="X147" s="964"/>
      <c r="Z147" s="788">
        <f t="shared" si="32"/>
      </c>
      <c r="AA147" s="788">
        <f t="shared" si="33"/>
      </c>
      <c r="AB147" s="788">
        <f t="shared" si="34"/>
      </c>
    </row>
    <row r="148" spans="1:28" s="773" customFormat="1" ht="27.75" customHeight="1">
      <c r="A148" s="953">
        <v>8</v>
      </c>
      <c r="B148" s="955">
        <v>1</v>
      </c>
      <c r="C148" s="954">
        <v>1</v>
      </c>
      <c r="D148" s="985">
        <v>766</v>
      </c>
      <c r="E148" s="954">
        <v>103</v>
      </c>
      <c r="F148" s="923" t="s">
        <v>987</v>
      </c>
      <c r="G148" s="1001" t="s">
        <v>748</v>
      </c>
      <c r="H148" s="728">
        <v>1368</v>
      </c>
      <c r="I148" s="728"/>
      <c r="J148" s="728"/>
      <c r="K148" s="728">
        <v>0</v>
      </c>
      <c r="L148" s="728"/>
      <c r="M148" s="728"/>
      <c r="N148" s="774"/>
      <c r="O148" s="774"/>
      <c r="P148" s="774"/>
      <c r="Q148" s="774"/>
      <c r="R148" s="774"/>
      <c r="S148" s="728"/>
      <c r="T148" s="777"/>
      <c r="U148" s="922"/>
      <c r="V148" s="781">
        <f>H148+M148</f>
        <v>1368</v>
      </c>
      <c r="W148" s="963"/>
      <c r="X148" s="964"/>
      <c r="Z148" s="788">
        <f t="shared" si="32"/>
      </c>
      <c r="AA148" s="788"/>
      <c r="AB148" s="788"/>
    </row>
    <row r="149" spans="1:28" s="773" customFormat="1" ht="27.75" customHeight="1">
      <c r="A149" s="953">
        <v>8</v>
      </c>
      <c r="B149" s="955">
        <v>1</v>
      </c>
      <c r="C149" s="954">
        <v>1</v>
      </c>
      <c r="D149" s="923">
        <v>769</v>
      </c>
      <c r="E149" s="955">
        <v>103</v>
      </c>
      <c r="F149" s="923" t="s">
        <v>103</v>
      </c>
      <c r="G149" s="956" t="s">
        <v>249</v>
      </c>
      <c r="H149" s="728">
        <v>0</v>
      </c>
      <c r="I149" s="728"/>
      <c r="J149" s="728"/>
      <c r="K149" s="728">
        <f>1000+2000</f>
        <v>3000</v>
      </c>
      <c r="L149" s="728"/>
      <c r="M149" s="728">
        <v>1000</v>
      </c>
      <c r="N149" s="774"/>
      <c r="O149" s="774"/>
      <c r="P149" s="774">
        <v>1000</v>
      </c>
      <c r="Q149" s="774"/>
      <c r="R149" s="774"/>
      <c r="S149" s="728">
        <v>1000</v>
      </c>
      <c r="T149" s="777"/>
      <c r="U149" s="798"/>
      <c r="V149" s="797">
        <f>H149+M149</f>
        <v>1000</v>
      </c>
      <c r="W149" s="963"/>
      <c r="X149" s="964"/>
      <c r="Z149" s="788">
        <f t="shared" si="32"/>
      </c>
      <c r="AA149" s="788">
        <f t="shared" si="33"/>
      </c>
      <c r="AB149" s="788">
        <f t="shared" si="34"/>
      </c>
    </row>
    <row r="150" spans="1:28" s="773" customFormat="1" ht="27.75" customHeight="1">
      <c r="A150" s="1339" t="s">
        <v>54</v>
      </c>
      <c r="B150" s="1340"/>
      <c r="C150" s="1340"/>
      <c r="D150" s="1340"/>
      <c r="E150" s="1340"/>
      <c r="F150" s="1340"/>
      <c r="G150" s="1341"/>
      <c r="H150" s="732">
        <f aca="true" t="shared" si="51" ref="H150:X150">SUM(H147:H149)</f>
        <v>25463.96</v>
      </c>
      <c r="I150" s="732">
        <f t="shared" si="51"/>
        <v>0</v>
      </c>
      <c r="J150" s="732">
        <f t="shared" si="51"/>
        <v>0</v>
      </c>
      <c r="K150" s="732">
        <f t="shared" si="51"/>
        <v>16075</v>
      </c>
      <c r="L150" s="732">
        <f t="shared" si="51"/>
        <v>8148.1</v>
      </c>
      <c r="M150" s="732">
        <f t="shared" si="51"/>
        <v>6000</v>
      </c>
      <c r="N150" s="732">
        <f t="shared" si="51"/>
        <v>0</v>
      </c>
      <c r="O150" s="732">
        <f t="shared" si="51"/>
        <v>0</v>
      </c>
      <c r="P150" s="732">
        <f t="shared" si="51"/>
        <v>6000</v>
      </c>
      <c r="Q150" s="767">
        <f t="shared" si="51"/>
        <v>0</v>
      </c>
      <c r="R150" s="767">
        <f t="shared" si="51"/>
        <v>0</v>
      </c>
      <c r="S150" s="767">
        <f t="shared" si="51"/>
        <v>6000</v>
      </c>
      <c r="T150" s="767">
        <f t="shared" si="51"/>
        <v>0</v>
      </c>
      <c r="U150" s="767">
        <f t="shared" si="51"/>
        <v>0</v>
      </c>
      <c r="V150" s="768">
        <f t="shared" si="51"/>
        <v>31463.96</v>
      </c>
      <c r="W150" s="983">
        <f t="shared" si="51"/>
        <v>0</v>
      </c>
      <c r="X150" s="984">
        <f t="shared" si="51"/>
        <v>0</v>
      </c>
      <c r="Z150" s="788">
        <f t="shared" si="32"/>
      </c>
      <c r="AA150" s="788">
        <f t="shared" si="33"/>
      </c>
      <c r="AB150" s="788">
        <f t="shared" si="34"/>
      </c>
    </row>
    <row r="151" spans="1:28" s="773" customFormat="1" ht="27.75" customHeight="1">
      <c r="A151" s="953">
        <v>8</v>
      </c>
      <c r="B151" s="955">
        <v>2</v>
      </c>
      <c r="C151" s="954">
        <v>1</v>
      </c>
      <c r="D151" s="923">
        <v>771</v>
      </c>
      <c r="E151" s="955">
        <v>104</v>
      </c>
      <c r="F151" s="923" t="s">
        <v>114</v>
      </c>
      <c r="G151" s="956" t="s">
        <v>296</v>
      </c>
      <c r="H151" s="731">
        <v>6633.6</v>
      </c>
      <c r="I151" s="731"/>
      <c r="J151" s="731"/>
      <c r="K151" s="731">
        <v>11000</v>
      </c>
      <c r="L151" s="731">
        <v>3281.53</v>
      </c>
      <c r="M151" s="731">
        <v>9000</v>
      </c>
      <c r="N151" s="921"/>
      <c r="O151" s="921"/>
      <c r="P151" s="921">
        <v>9000</v>
      </c>
      <c r="Q151" s="779"/>
      <c r="R151" s="921"/>
      <c r="S151" s="731">
        <v>9000</v>
      </c>
      <c r="T151" s="780"/>
      <c r="U151" s="937"/>
      <c r="V151" s="781">
        <f>H151+M151</f>
        <v>15633.6</v>
      </c>
      <c r="W151" s="935"/>
      <c r="X151" s="1015"/>
      <c r="Z151" s="788">
        <f t="shared" si="32"/>
      </c>
      <c r="AA151" s="788">
        <f t="shared" si="33"/>
      </c>
      <c r="AB151" s="788">
        <f t="shared" si="34"/>
      </c>
    </row>
    <row r="152" spans="1:28" s="773" customFormat="1" ht="27.75" customHeight="1">
      <c r="A152" s="953">
        <v>8</v>
      </c>
      <c r="B152" s="955">
        <v>2</v>
      </c>
      <c r="C152" s="954">
        <v>1</v>
      </c>
      <c r="D152" s="923">
        <v>772</v>
      </c>
      <c r="E152" s="955">
        <v>104</v>
      </c>
      <c r="F152" s="923" t="s">
        <v>982</v>
      </c>
      <c r="G152" s="1001" t="s">
        <v>1016</v>
      </c>
      <c r="H152" s="731"/>
      <c r="I152" s="731"/>
      <c r="J152" s="731"/>
      <c r="K152" s="731"/>
      <c r="L152" s="731"/>
      <c r="M152" s="731">
        <v>2000</v>
      </c>
      <c r="N152" s="921"/>
      <c r="O152" s="921"/>
      <c r="P152" s="921">
        <v>2000</v>
      </c>
      <c r="Q152" s="779"/>
      <c r="R152" s="921"/>
      <c r="S152" s="731">
        <v>2000</v>
      </c>
      <c r="T152" s="780"/>
      <c r="U152" s="937"/>
      <c r="V152" s="781">
        <f>H152+M152</f>
        <v>2000</v>
      </c>
      <c r="W152" s="935"/>
      <c r="X152" s="1015"/>
      <c r="Z152" s="788">
        <f>IF(V152&gt;(H152+M152+N152),"ERRORE","")</f>
      </c>
      <c r="AA152" s="788">
        <f>IF(W152&gt;(H152+P152+Q152),"ERRORE","")</f>
      </c>
      <c r="AB152" s="788">
        <f>IF(X152&gt;(H152+S152+T152),"ERRORE","")</f>
      </c>
    </row>
    <row r="153" spans="1:28" s="773" customFormat="1" ht="28.5" customHeight="1" thickBot="1">
      <c r="A153" s="1339" t="s">
        <v>55</v>
      </c>
      <c r="B153" s="1340"/>
      <c r="C153" s="1340"/>
      <c r="D153" s="1340"/>
      <c r="E153" s="1340"/>
      <c r="F153" s="1340"/>
      <c r="G153" s="1341"/>
      <c r="H153" s="732">
        <f>SUM(H151:H152)</f>
        <v>6633.6</v>
      </c>
      <c r="I153" s="732">
        <f aca="true" t="shared" si="52" ref="I153:V153">SUM(I151:I152)</f>
        <v>0</v>
      </c>
      <c r="J153" s="732">
        <f t="shared" si="52"/>
        <v>0</v>
      </c>
      <c r="K153" s="732">
        <f t="shared" si="52"/>
        <v>11000</v>
      </c>
      <c r="L153" s="732">
        <f t="shared" si="52"/>
        <v>3281.53</v>
      </c>
      <c r="M153" s="732">
        <f t="shared" si="52"/>
        <v>11000</v>
      </c>
      <c r="N153" s="732">
        <f t="shared" si="52"/>
        <v>0</v>
      </c>
      <c r="O153" s="732">
        <f t="shared" si="52"/>
        <v>0</v>
      </c>
      <c r="P153" s="732">
        <f t="shared" si="52"/>
        <v>11000</v>
      </c>
      <c r="Q153" s="732">
        <f t="shared" si="52"/>
        <v>0</v>
      </c>
      <c r="R153" s="732">
        <f t="shared" si="52"/>
        <v>0</v>
      </c>
      <c r="S153" s="732">
        <f t="shared" si="52"/>
        <v>11000</v>
      </c>
      <c r="T153" s="732">
        <f t="shared" si="52"/>
        <v>0</v>
      </c>
      <c r="U153" s="767">
        <f t="shared" si="52"/>
        <v>0</v>
      </c>
      <c r="V153" s="768">
        <f t="shared" si="52"/>
        <v>17633.6</v>
      </c>
      <c r="W153" s="1000">
        <f>SUM(W151)</f>
        <v>0</v>
      </c>
      <c r="X153" s="984">
        <f>SUM(X151)</f>
        <v>0</v>
      </c>
      <c r="Z153" s="788">
        <f t="shared" si="32"/>
      </c>
      <c r="AA153" s="788">
        <f t="shared" si="33"/>
      </c>
      <c r="AB153" s="788">
        <f t="shared" si="34"/>
      </c>
    </row>
    <row r="154" spans="1:32" s="853" customFormat="1" ht="21" customHeight="1" thickBot="1">
      <c r="A154" s="1336" t="s">
        <v>60</v>
      </c>
      <c r="B154" s="1337"/>
      <c r="C154" s="1337"/>
      <c r="D154" s="1337"/>
      <c r="E154" s="1337"/>
      <c r="F154" s="1337"/>
      <c r="G154" s="1338"/>
      <c r="H154" s="738">
        <f>H150+H153</f>
        <v>32097.559999999998</v>
      </c>
      <c r="I154" s="738">
        <f aca="true" t="shared" si="53" ref="I154:N154">I150+I153</f>
        <v>0</v>
      </c>
      <c r="J154" s="738">
        <f t="shared" si="53"/>
        <v>0</v>
      </c>
      <c r="K154" s="738">
        <f t="shared" si="53"/>
        <v>27075</v>
      </c>
      <c r="L154" s="738">
        <f t="shared" si="53"/>
        <v>11429.630000000001</v>
      </c>
      <c r="M154" s="738">
        <f t="shared" si="53"/>
        <v>17000</v>
      </c>
      <c r="N154" s="738">
        <f t="shared" si="53"/>
        <v>0</v>
      </c>
      <c r="O154" s="738">
        <f aca="true" t="shared" si="54" ref="O154:X154">O150+O153</f>
        <v>0</v>
      </c>
      <c r="P154" s="738">
        <f t="shared" si="54"/>
        <v>17000</v>
      </c>
      <c r="Q154" s="738">
        <f t="shared" si="54"/>
        <v>0</v>
      </c>
      <c r="R154" s="738">
        <f t="shared" si="54"/>
        <v>0</v>
      </c>
      <c r="S154" s="738">
        <f t="shared" si="54"/>
        <v>17000</v>
      </c>
      <c r="T154" s="738">
        <f t="shared" si="54"/>
        <v>0</v>
      </c>
      <c r="U154" s="1078">
        <f t="shared" si="54"/>
        <v>0</v>
      </c>
      <c r="V154" s="738">
        <f t="shared" si="54"/>
        <v>49097.56</v>
      </c>
      <c r="W154" s="1016">
        <f t="shared" si="54"/>
        <v>0</v>
      </c>
      <c r="X154" s="738">
        <f t="shared" si="54"/>
        <v>0</v>
      </c>
      <c r="Z154" s="788">
        <f t="shared" si="32"/>
      </c>
      <c r="AA154" s="788">
        <f t="shared" si="33"/>
      </c>
      <c r="AB154" s="788">
        <f t="shared" si="34"/>
      </c>
      <c r="AD154" s="854"/>
      <c r="AF154" s="854"/>
    </row>
    <row r="155" spans="1:28" s="853" customFormat="1" ht="21" customHeight="1" thickBot="1">
      <c r="A155" s="1336" t="s">
        <v>62</v>
      </c>
      <c r="B155" s="1337"/>
      <c r="C155" s="1337"/>
      <c r="D155" s="1337"/>
      <c r="E155" s="1337"/>
      <c r="F155" s="1337"/>
      <c r="G155" s="1338"/>
      <c r="H155" s="1342"/>
      <c r="I155" s="1343"/>
      <c r="J155" s="1343"/>
      <c r="K155" s="1343"/>
      <c r="L155" s="1343"/>
      <c r="M155" s="1343"/>
      <c r="N155" s="1343"/>
      <c r="O155" s="1343"/>
      <c r="P155" s="1343"/>
      <c r="Q155" s="1343"/>
      <c r="R155" s="1343"/>
      <c r="S155" s="1343"/>
      <c r="T155" s="1343"/>
      <c r="U155" s="1343"/>
      <c r="V155" s="1343"/>
      <c r="W155" s="1343"/>
      <c r="X155" s="1344"/>
      <c r="Z155" s="788">
        <f t="shared" si="32"/>
      </c>
      <c r="AA155" s="788">
        <f t="shared" si="33"/>
      </c>
      <c r="AB155" s="788">
        <f t="shared" si="34"/>
      </c>
    </row>
    <row r="156" spans="1:28" s="773" customFormat="1" ht="27.75" customHeight="1">
      <c r="A156" s="953">
        <v>9</v>
      </c>
      <c r="B156" s="955">
        <v>1</v>
      </c>
      <c r="C156" s="954">
        <v>1</v>
      </c>
      <c r="D156" s="985">
        <v>818</v>
      </c>
      <c r="E156" s="954">
        <v>104</v>
      </c>
      <c r="F156" s="923" t="s">
        <v>114</v>
      </c>
      <c r="G156" s="956" t="s">
        <v>267</v>
      </c>
      <c r="H156" s="731">
        <v>1000</v>
      </c>
      <c r="I156" s="731">
        <v>0</v>
      </c>
      <c r="J156" s="731">
        <v>0</v>
      </c>
      <c r="K156" s="731">
        <v>0</v>
      </c>
      <c r="L156" s="731"/>
      <c r="M156" s="731">
        <v>0</v>
      </c>
      <c r="N156" s="921"/>
      <c r="O156" s="921"/>
      <c r="P156" s="921">
        <v>0</v>
      </c>
      <c r="Q156" s="779"/>
      <c r="R156" s="921"/>
      <c r="S156" s="731">
        <v>0</v>
      </c>
      <c r="T156" s="780"/>
      <c r="U156" s="1015"/>
      <c r="V156" s="832">
        <f>H156+M156</f>
        <v>1000</v>
      </c>
      <c r="W156" s="935"/>
      <c r="X156" s="1015"/>
      <c r="Z156" s="788">
        <f t="shared" si="32"/>
      </c>
      <c r="AA156" s="788">
        <f t="shared" si="33"/>
      </c>
      <c r="AB156" s="788">
        <f t="shared" si="34"/>
      </c>
    </row>
    <row r="157" spans="1:28" s="773" customFormat="1" ht="27.75" customHeight="1" hidden="1">
      <c r="A157" s="953">
        <v>9</v>
      </c>
      <c r="B157" s="955">
        <v>1</v>
      </c>
      <c r="C157" s="954">
        <v>1</v>
      </c>
      <c r="D157" s="985"/>
      <c r="E157" s="954">
        <v>107</v>
      </c>
      <c r="F157" s="923" t="s">
        <v>124</v>
      </c>
      <c r="G157" s="956" t="s">
        <v>439</v>
      </c>
      <c r="H157" s="728"/>
      <c r="I157" s="728"/>
      <c r="J157" s="728"/>
      <c r="K157" s="728"/>
      <c r="L157" s="728"/>
      <c r="M157" s="728"/>
      <c r="N157" s="774"/>
      <c r="O157" s="774"/>
      <c r="P157" s="774"/>
      <c r="Q157" s="774"/>
      <c r="R157" s="774"/>
      <c r="S157" s="728"/>
      <c r="T157" s="777"/>
      <c r="U157" s="777"/>
      <c r="V157" s="778"/>
      <c r="W157" s="963"/>
      <c r="X157" s="964"/>
      <c r="Z157" s="788">
        <f t="shared" si="32"/>
      </c>
      <c r="AA157" s="788">
        <f t="shared" si="33"/>
      </c>
      <c r="AB157" s="788">
        <f t="shared" si="34"/>
      </c>
    </row>
    <row r="158" spans="1:28" s="773" customFormat="1" ht="27.75" customHeight="1" hidden="1">
      <c r="A158" s="782">
        <v>9</v>
      </c>
      <c r="B158" s="967">
        <v>1</v>
      </c>
      <c r="C158" s="783">
        <v>1</v>
      </c>
      <c r="D158" s="971"/>
      <c r="E158" s="783">
        <v>107</v>
      </c>
      <c r="F158" s="784" t="s">
        <v>124</v>
      </c>
      <c r="G158" s="980" t="s">
        <v>440</v>
      </c>
      <c r="H158" s="729"/>
      <c r="I158" s="729"/>
      <c r="J158" s="729"/>
      <c r="K158" s="729"/>
      <c r="L158" s="729"/>
      <c r="M158" s="729"/>
      <c r="N158" s="775"/>
      <c r="O158" s="775"/>
      <c r="P158" s="775"/>
      <c r="Q158" s="798"/>
      <c r="R158" s="775"/>
      <c r="S158" s="729"/>
      <c r="T158" s="799"/>
      <c r="U158" s="799"/>
      <c r="V158" s="801"/>
      <c r="W158" s="935"/>
      <c r="X158" s="800"/>
      <c r="Z158" s="788">
        <f t="shared" si="32"/>
      </c>
      <c r="AA158" s="788">
        <f t="shared" si="33"/>
      </c>
      <c r="AB158" s="788">
        <f t="shared" si="34"/>
      </c>
    </row>
    <row r="159" spans="1:28" s="773" customFormat="1" ht="27.75" customHeight="1">
      <c r="A159" s="1339" t="s">
        <v>56</v>
      </c>
      <c r="B159" s="1340"/>
      <c r="C159" s="1340"/>
      <c r="D159" s="1340"/>
      <c r="E159" s="1340"/>
      <c r="F159" s="1340"/>
      <c r="G159" s="1341"/>
      <c r="H159" s="732">
        <f aca="true" t="shared" si="55" ref="H159:R159">SUM(H156:H158)</f>
        <v>1000</v>
      </c>
      <c r="I159" s="732">
        <f t="shared" si="55"/>
        <v>0</v>
      </c>
      <c r="J159" s="732">
        <f t="shared" si="55"/>
        <v>0</v>
      </c>
      <c r="K159" s="732">
        <f t="shared" si="55"/>
        <v>0</v>
      </c>
      <c r="L159" s="732">
        <f t="shared" si="55"/>
        <v>0</v>
      </c>
      <c r="M159" s="732">
        <f t="shared" si="55"/>
        <v>0</v>
      </c>
      <c r="N159" s="732">
        <f t="shared" si="55"/>
        <v>0</v>
      </c>
      <c r="O159" s="732">
        <f t="shared" si="55"/>
        <v>0</v>
      </c>
      <c r="P159" s="732">
        <f t="shared" si="55"/>
        <v>0</v>
      </c>
      <c r="Q159" s="767">
        <f t="shared" si="55"/>
        <v>0</v>
      </c>
      <c r="R159" s="767">
        <f t="shared" si="55"/>
        <v>0</v>
      </c>
      <c r="S159" s="767">
        <f aca="true" t="shared" si="56" ref="S159:X159">SUM(S156:S158)</f>
        <v>0</v>
      </c>
      <c r="T159" s="767">
        <f t="shared" si="56"/>
        <v>0</v>
      </c>
      <c r="U159" s="767">
        <f t="shared" si="56"/>
        <v>0</v>
      </c>
      <c r="V159" s="768">
        <f t="shared" si="56"/>
        <v>1000</v>
      </c>
      <c r="W159" s="983">
        <f t="shared" si="56"/>
        <v>0</v>
      </c>
      <c r="X159" s="984">
        <f t="shared" si="56"/>
        <v>0</v>
      </c>
      <c r="Z159" s="788">
        <f t="shared" si="32"/>
      </c>
      <c r="AA159" s="788">
        <f t="shared" si="33"/>
      </c>
      <c r="AB159" s="788">
        <f t="shared" si="34"/>
      </c>
    </row>
    <row r="160" spans="1:28" s="773" customFormat="1" ht="27.75" customHeight="1">
      <c r="A160" s="1023">
        <v>9</v>
      </c>
      <c r="B160" s="1024">
        <v>2</v>
      </c>
      <c r="C160" s="1025">
        <v>1</v>
      </c>
      <c r="D160" s="1026">
        <v>785</v>
      </c>
      <c r="E160" s="1025">
        <v>103</v>
      </c>
      <c r="F160" s="1027" t="s">
        <v>108</v>
      </c>
      <c r="G160" s="1028" t="s">
        <v>268</v>
      </c>
      <c r="H160" s="741">
        <v>7644.46</v>
      </c>
      <c r="I160" s="741"/>
      <c r="J160" s="741"/>
      <c r="K160" s="741">
        <v>7000</v>
      </c>
      <c r="L160" s="741"/>
      <c r="M160" s="741">
        <v>7000</v>
      </c>
      <c r="N160" s="779"/>
      <c r="O160" s="779"/>
      <c r="P160" s="779">
        <v>7000</v>
      </c>
      <c r="Q160" s="779"/>
      <c r="R160" s="779"/>
      <c r="S160" s="741">
        <v>7000</v>
      </c>
      <c r="T160" s="1029"/>
      <c r="U160" s="1015"/>
      <c r="V160" s="840">
        <f>H160+M160</f>
        <v>14644.46</v>
      </c>
      <c r="W160" s="1029"/>
      <c r="X160" s="1015"/>
      <c r="Z160" s="788">
        <f t="shared" si="32"/>
      </c>
      <c r="AA160" s="788">
        <f t="shared" si="33"/>
      </c>
      <c r="AB160" s="788">
        <f t="shared" si="34"/>
      </c>
    </row>
    <row r="161" spans="1:28" s="773" customFormat="1" ht="27.75" customHeight="1">
      <c r="A161" s="1005">
        <v>9</v>
      </c>
      <c r="B161" s="979">
        <v>2</v>
      </c>
      <c r="C161" s="972">
        <v>1</v>
      </c>
      <c r="D161" s="1021">
        <v>840</v>
      </c>
      <c r="E161" s="972">
        <v>103</v>
      </c>
      <c r="F161" s="973" t="s">
        <v>110</v>
      </c>
      <c r="G161" s="974" t="s">
        <v>269</v>
      </c>
      <c r="H161" s="740">
        <v>4192.67</v>
      </c>
      <c r="I161" s="740"/>
      <c r="J161" s="740"/>
      <c r="K161" s="740">
        <v>34000</v>
      </c>
      <c r="L161" s="740"/>
      <c r="M161" s="740">
        <v>34000</v>
      </c>
      <c r="N161" s="922"/>
      <c r="O161" s="922"/>
      <c r="P161" s="922">
        <v>34000</v>
      </c>
      <c r="Q161" s="934"/>
      <c r="R161" s="922"/>
      <c r="S161" s="740">
        <v>34000</v>
      </c>
      <c r="T161" s="935"/>
      <c r="U161" s="1018"/>
      <c r="V161" s="839">
        <f>H161+M161</f>
        <v>38192.67</v>
      </c>
      <c r="W161" s="935"/>
      <c r="X161" s="1018"/>
      <c r="Z161" s="788">
        <f t="shared" si="32"/>
      </c>
      <c r="AA161" s="788">
        <f t="shared" si="33"/>
      </c>
      <c r="AB161" s="788">
        <f t="shared" si="34"/>
      </c>
    </row>
    <row r="162" spans="1:28" s="773" customFormat="1" ht="33.75" customHeight="1">
      <c r="A162" s="1339" t="s">
        <v>57</v>
      </c>
      <c r="B162" s="1340"/>
      <c r="C162" s="1340"/>
      <c r="D162" s="1340"/>
      <c r="E162" s="1340"/>
      <c r="F162" s="1340"/>
      <c r="G162" s="1341"/>
      <c r="H162" s="732">
        <f aca="true" t="shared" si="57" ref="H162:X162">SUM(H160:H161)</f>
        <v>11837.130000000001</v>
      </c>
      <c r="I162" s="732">
        <f t="shared" si="57"/>
        <v>0</v>
      </c>
      <c r="J162" s="732">
        <f t="shared" si="57"/>
        <v>0</v>
      </c>
      <c r="K162" s="732">
        <f t="shared" si="57"/>
        <v>41000</v>
      </c>
      <c r="L162" s="732">
        <f t="shared" si="57"/>
        <v>0</v>
      </c>
      <c r="M162" s="732">
        <f t="shared" si="57"/>
        <v>41000</v>
      </c>
      <c r="N162" s="732">
        <f t="shared" si="57"/>
        <v>0</v>
      </c>
      <c r="O162" s="732">
        <f t="shared" si="57"/>
        <v>0</v>
      </c>
      <c r="P162" s="732">
        <f t="shared" si="57"/>
        <v>41000</v>
      </c>
      <c r="Q162" s="732">
        <f t="shared" si="57"/>
        <v>0</v>
      </c>
      <c r="R162" s="732">
        <f t="shared" si="57"/>
        <v>0</v>
      </c>
      <c r="S162" s="732">
        <f t="shared" si="57"/>
        <v>41000</v>
      </c>
      <c r="T162" s="732">
        <f t="shared" si="57"/>
        <v>0</v>
      </c>
      <c r="U162" s="767">
        <f t="shared" si="57"/>
        <v>0</v>
      </c>
      <c r="V162" s="768">
        <f t="shared" si="57"/>
        <v>52837.13</v>
      </c>
      <c r="W162" s="1000">
        <f t="shared" si="57"/>
        <v>0</v>
      </c>
      <c r="X162" s="984">
        <f t="shared" si="57"/>
        <v>0</v>
      </c>
      <c r="Z162" s="788">
        <f t="shared" si="32"/>
      </c>
      <c r="AA162" s="788">
        <f t="shared" si="33"/>
      </c>
      <c r="AB162" s="788">
        <f t="shared" si="34"/>
      </c>
    </row>
    <row r="163" spans="1:28" s="773" customFormat="1" ht="27.75" customHeight="1">
      <c r="A163" s="953">
        <v>9</v>
      </c>
      <c r="B163" s="955">
        <v>3</v>
      </c>
      <c r="C163" s="954">
        <v>1</v>
      </c>
      <c r="D163" s="985">
        <v>265</v>
      </c>
      <c r="E163" s="954">
        <v>102</v>
      </c>
      <c r="F163" s="923" t="s">
        <v>97</v>
      </c>
      <c r="G163" s="1001" t="s">
        <v>974</v>
      </c>
      <c r="H163" s="731">
        <v>4653.86</v>
      </c>
      <c r="I163" s="731"/>
      <c r="J163" s="731"/>
      <c r="K163" s="727">
        <v>0</v>
      </c>
      <c r="L163" s="731"/>
      <c r="M163" s="727">
        <v>0</v>
      </c>
      <c r="N163" s="921"/>
      <c r="O163" s="921"/>
      <c r="P163" s="727">
        <v>0</v>
      </c>
      <c r="Q163" s="779"/>
      <c r="R163" s="921"/>
      <c r="S163" s="731">
        <v>0</v>
      </c>
      <c r="T163" s="780"/>
      <c r="U163" s="1015"/>
      <c r="V163" s="781">
        <f>H163+M163</f>
        <v>4653.86</v>
      </c>
      <c r="W163" s="1030"/>
      <c r="X163" s="1015"/>
      <c r="Z163" s="788">
        <f t="shared" si="32"/>
      </c>
      <c r="AA163" s="788">
        <f t="shared" si="33"/>
      </c>
      <c r="AB163" s="788">
        <f t="shared" si="34"/>
      </c>
    </row>
    <row r="164" spans="1:28" s="773" customFormat="1" ht="27.75" customHeight="1">
      <c r="A164" s="953">
        <v>9</v>
      </c>
      <c r="B164" s="955">
        <v>3</v>
      </c>
      <c r="C164" s="954">
        <v>1</v>
      </c>
      <c r="D164" s="985">
        <v>825</v>
      </c>
      <c r="E164" s="954">
        <v>101</v>
      </c>
      <c r="F164" s="923" t="s">
        <v>97</v>
      </c>
      <c r="G164" s="956" t="s">
        <v>271</v>
      </c>
      <c r="H164" s="731">
        <v>4267.75</v>
      </c>
      <c r="I164" s="731"/>
      <c r="J164" s="731"/>
      <c r="K164" s="727">
        <v>21300</v>
      </c>
      <c r="L164" s="731"/>
      <c r="M164" s="727">
        <v>21300</v>
      </c>
      <c r="N164" s="921"/>
      <c r="O164" s="921"/>
      <c r="P164" s="727">
        <v>21300</v>
      </c>
      <c r="Q164" s="779"/>
      <c r="R164" s="921"/>
      <c r="S164" s="731">
        <v>21200</v>
      </c>
      <c r="T164" s="780"/>
      <c r="U164" s="1015"/>
      <c r="V164" s="781">
        <f>H164+M164</f>
        <v>25567.75</v>
      </c>
      <c r="W164" s="1030"/>
      <c r="X164" s="1015"/>
      <c r="Z164" s="788">
        <f>IF(V164&gt;(H164+M164+N164),"ERRORE","")</f>
      </c>
      <c r="AA164" s="788">
        <f>IF(W164&gt;(H164+P164+Q164),"ERRORE","")</f>
      </c>
      <c r="AB164" s="788">
        <f>IF(X164&gt;(H164+S164+T164),"ERRORE","")</f>
      </c>
    </row>
    <row r="165" spans="1:28" s="773" customFormat="1" ht="27.75" customHeight="1">
      <c r="A165" s="953">
        <v>9</v>
      </c>
      <c r="B165" s="955">
        <v>3</v>
      </c>
      <c r="C165" s="954">
        <v>1</v>
      </c>
      <c r="D165" s="985">
        <v>826</v>
      </c>
      <c r="E165" s="954">
        <v>102</v>
      </c>
      <c r="F165" s="924" t="s">
        <v>105</v>
      </c>
      <c r="G165" s="959" t="s">
        <v>272</v>
      </c>
      <c r="H165" s="728">
        <v>424.26</v>
      </c>
      <c r="I165" s="728"/>
      <c r="J165" s="728"/>
      <c r="K165" s="727">
        <v>1900</v>
      </c>
      <c r="L165" s="727"/>
      <c r="M165" s="728">
        <v>1900</v>
      </c>
      <c r="N165" s="774"/>
      <c r="O165" s="774"/>
      <c r="P165" s="774">
        <v>1900</v>
      </c>
      <c r="Q165" s="774"/>
      <c r="R165" s="774"/>
      <c r="S165" s="728">
        <v>1800</v>
      </c>
      <c r="T165" s="777"/>
      <c r="U165" s="964"/>
      <c r="V165" s="778">
        <f>H165+M165</f>
        <v>2324.26</v>
      </c>
      <c r="W165" s="963"/>
      <c r="X165" s="964"/>
      <c r="Z165" s="788">
        <f>IF(V165&gt;(H165+M165+N165),"ERRORE","")</f>
      </c>
      <c r="AA165" s="788">
        <f>IF(W165&gt;(H165+P165+Q165),"ERRORE","")</f>
      </c>
      <c r="AB165" s="788">
        <f>IF(X165&gt;(H165+S165+T165),"ERRORE","")</f>
      </c>
    </row>
    <row r="166" spans="1:28" s="773" customFormat="1" ht="27.75" customHeight="1">
      <c r="A166" s="960">
        <v>9</v>
      </c>
      <c r="B166" s="965">
        <v>3</v>
      </c>
      <c r="C166" s="961">
        <v>1</v>
      </c>
      <c r="D166" s="962">
        <v>827</v>
      </c>
      <c r="E166" s="961">
        <v>101</v>
      </c>
      <c r="F166" s="924" t="s">
        <v>98</v>
      </c>
      <c r="G166" s="959" t="s">
        <v>273</v>
      </c>
      <c r="H166" s="728">
        <v>1459.21</v>
      </c>
      <c r="I166" s="728"/>
      <c r="J166" s="728"/>
      <c r="K166" s="727">
        <v>6400</v>
      </c>
      <c r="L166" s="727"/>
      <c r="M166" s="727">
        <v>6400</v>
      </c>
      <c r="N166" s="774"/>
      <c r="O166" s="774"/>
      <c r="P166" s="727">
        <v>6400</v>
      </c>
      <c r="Q166" s="774"/>
      <c r="R166" s="774"/>
      <c r="S166" s="728">
        <v>6300</v>
      </c>
      <c r="T166" s="777"/>
      <c r="U166" s="964"/>
      <c r="V166" s="778">
        <f>H166+M166</f>
        <v>7859.21</v>
      </c>
      <c r="W166" s="963"/>
      <c r="X166" s="964"/>
      <c r="Z166" s="788">
        <f t="shared" si="32"/>
      </c>
      <c r="AA166" s="788">
        <f t="shared" si="33"/>
      </c>
      <c r="AB166" s="788">
        <f t="shared" si="34"/>
      </c>
    </row>
    <row r="167" spans="1:28" s="773" customFormat="1" ht="27.75" customHeight="1">
      <c r="A167" s="782">
        <v>9</v>
      </c>
      <c r="B167" s="967">
        <v>3</v>
      </c>
      <c r="C167" s="783">
        <v>1</v>
      </c>
      <c r="D167" s="827">
        <v>830</v>
      </c>
      <c r="E167" s="783">
        <v>103</v>
      </c>
      <c r="F167" s="784" t="s">
        <v>108</v>
      </c>
      <c r="G167" s="980" t="s">
        <v>274</v>
      </c>
      <c r="H167" s="729">
        <v>45476.86</v>
      </c>
      <c r="I167" s="729"/>
      <c r="J167" s="729"/>
      <c r="K167" s="729">
        <f>253000+35500</f>
        <v>288500</v>
      </c>
      <c r="L167" s="729"/>
      <c r="M167" s="729">
        <v>277000</v>
      </c>
      <c r="N167" s="775"/>
      <c r="O167" s="775"/>
      <c r="P167" s="775">
        <v>277000</v>
      </c>
      <c r="Q167" s="798"/>
      <c r="R167" s="775"/>
      <c r="S167" s="729">
        <v>277000</v>
      </c>
      <c r="T167" s="799"/>
      <c r="U167" s="800"/>
      <c r="V167" s="797">
        <f>H167+M167</f>
        <v>322476.86</v>
      </c>
      <c r="W167" s="1031"/>
      <c r="X167" s="800"/>
      <c r="Z167" s="788">
        <f t="shared" si="32"/>
      </c>
      <c r="AA167" s="788">
        <f t="shared" si="33"/>
      </c>
      <c r="AB167" s="788">
        <f t="shared" si="34"/>
      </c>
    </row>
    <row r="168" spans="1:28" s="773" customFormat="1" ht="27.75" customHeight="1">
      <c r="A168" s="1339" t="s">
        <v>58</v>
      </c>
      <c r="B168" s="1340"/>
      <c r="C168" s="1340"/>
      <c r="D168" s="1340"/>
      <c r="E168" s="1340"/>
      <c r="F168" s="1340"/>
      <c r="G168" s="1341"/>
      <c r="H168" s="732">
        <f aca="true" t="shared" si="58" ref="H168:X168">SUM(H163:H167)</f>
        <v>56281.94</v>
      </c>
      <c r="I168" s="732">
        <f t="shared" si="58"/>
        <v>0</v>
      </c>
      <c r="J168" s="732">
        <f t="shared" si="58"/>
        <v>0</v>
      </c>
      <c r="K168" s="732">
        <f t="shared" si="58"/>
        <v>318100</v>
      </c>
      <c r="L168" s="732">
        <f t="shared" si="58"/>
        <v>0</v>
      </c>
      <c r="M168" s="732">
        <f t="shared" si="58"/>
        <v>306600</v>
      </c>
      <c r="N168" s="732">
        <f t="shared" si="58"/>
        <v>0</v>
      </c>
      <c r="O168" s="732">
        <f t="shared" si="58"/>
        <v>0</v>
      </c>
      <c r="P168" s="732">
        <f t="shared" si="58"/>
        <v>306600</v>
      </c>
      <c r="Q168" s="767">
        <f t="shared" si="58"/>
        <v>0</v>
      </c>
      <c r="R168" s="767">
        <f t="shared" si="58"/>
        <v>0</v>
      </c>
      <c r="S168" s="767">
        <f t="shared" si="58"/>
        <v>306300</v>
      </c>
      <c r="T168" s="767">
        <f t="shared" si="58"/>
        <v>0</v>
      </c>
      <c r="U168" s="767">
        <f t="shared" si="58"/>
        <v>0</v>
      </c>
      <c r="V168" s="768">
        <f t="shared" si="58"/>
        <v>362881.94</v>
      </c>
      <c r="W168" s="983">
        <f t="shared" si="58"/>
        <v>0</v>
      </c>
      <c r="X168" s="984">
        <f t="shared" si="58"/>
        <v>0</v>
      </c>
      <c r="Z168" s="788">
        <f t="shared" si="32"/>
      </c>
      <c r="AA168" s="788">
        <f t="shared" si="33"/>
      </c>
      <c r="AB168" s="788">
        <f t="shared" si="34"/>
      </c>
    </row>
    <row r="169" spans="1:28" s="773" customFormat="1" ht="27.75" customHeight="1">
      <c r="A169" s="953">
        <v>9</v>
      </c>
      <c r="B169" s="955">
        <v>4</v>
      </c>
      <c r="C169" s="954">
        <v>1</v>
      </c>
      <c r="D169" s="985">
        <v>790</v>
      </c>
      <c r="E169" s="954">
        <v>103</v>
      </c>
      <c r="F169" s="924" t="s">
        <v>107</v>
      </c>
      <c r="G169" s="956" t="s">
        <v>275</v>
      </c>
      <c r="H169" s="731">
        <v>9057.48</v>
      </c>
      <c r="I169" s="731"/>
      <c r="J169" s="731"/>
      <c r="K169" s="731">
        <f>2000+6500</f>
        <v>8500</v>
      </c>
      <c r="L169" s="731"/>
      <c r="M169" s="731">
        <v>2000</v>
      </c>
      <c r="N169" s="921"/>
      <c r="O169" s="921"/>
      <c r="P169" s="921">
        <v>2000</v>
      </c>
      <c r="Q169" s="779"/>
      <c r="R169" s="921"/>
      <c r="S169" s="731">
        <v>2000</v>
      </c>
      <c r="T169" s="780"/>
      <c r="U169" s="1015"/>
      <c r="V169" s="781">
        <f>H169+M169</f>
        <v>11057.48</v>
      </c>
      <c r="W169" s="1029"/>
      <c r="X169" s="1015"/>
      <c r="Z169" s="788">
        <f t="shared" si="32"/>
      </c>
      <c r="AA169" s="788">
        <f t="shared" si="33"/>
      </c>
      <c r="AB169" s="788">
        <f t="shared" si="34"/>
      </c>
    </row>
    <row r="170" spans="1:28" s="773" customFormat="1" ht="27.75" customHeight="1" hidden="1">
      <c r="A170" s="782">
        <v>9</v>
      </c>
      <c r="B170" s="967">
        <v>4</v>
      </c>
      <c r="C170" s="783">
        <v>1</v>
      </c>
      <c r="D170" s="971">
        <v>820</v>
      </c>
      <c r="E170" s="972">
        <v>107</v>
      </c>
      <c r="F170" s="923" t="s">
        <v>124</v>
      </c>
      <c r="G170" s="956" t="s">
        <v>340</v>
      </c>
      <c r="H170" s="729"/>
      <c r="I170" s="729"/>
      <c r="J170" s="729"/>
      <c r="K170" s="729"/>
      <c r="L170" s="729"/>
      <c r="M170" s="729">
        <v>0</v>
      </c>
      <c r="N170" s="775"/>
      <c r="O170" s="775"/>
      <c r="P170" s="775">
        <v>0</v>
      </c>
      <c r="Q170" s="798"/>
      <c r="R170" s="775"/>
      <c r="S170" s="729">
        <v>0</v>
      </c>
      <c r="T170" s="799"/>
      <c r="U170" s="800"/>
      <c r="V170" s="801"/>
      <c r="W170" s="935">
        <v>0</v>
      </c>
      <c r="X170" s="1018">
        <v>0</v>
      </c>
      <c r="Z170" s="788">
        <f t="shared" si="32"/>
      </c>
      <c r="AA170" s="788">
        <f t="shared" si="33"/>
      </c>
      <c r="AB170" s="788">
        <f t="shared" si="34"/>
      </c>
    </row>
    <row r="171" spans="1:28" s="773" customFormat="1" ht="27.75" customHeight="1" thickBot="1">
      <c r="A171" s="1339" t="s">
        <v>59</v>
      </c>
      <c r="B171" s="1340"/>
      <c r="C171" s="1340"/>
      <c r="D171" s="1340"/>
      <c r="E171" s="1340"/>
      <c r="F171" s="1340"/>
      <c r="G171" s="1341"/>
      <c r="H171" s="732">
        <f aca="true" t="shared" si="59" ref="H171:R171">SUM(H169:H170)</f>
        <v>9057.48</v>
      </c>
      <c r="I171" s="732">
        <f t="shared" si="59"/>
        <v>0</v>
      </c>
      <c r="J171" s="732">
        <f t="shared" si="59"/>
        <v>0</v>
      </c>
      <c r="K171" s="732">
        <f t="shared" si="59"/>
        <v>8500</v>
      </c>
      <c r="L171" s="732">
        <f t="shared" si="59"/>
        <v>0</v>
      </c>
      <c r="M171" s="732">
        <f t="shared" si="59"/>
        <v>2000</v>
      </c>
      <c r="N171" s="732">
        <f t="shared" si="59"/>
        <v>0</v>
      </c>
      <c r="O171" s="732">
        <f t="shared" si="59"/>
        <v>0</v>
      </c>
      <c r="P171" s="732">
        <f t="shared" si="59"/>
        <v>2000</v>
      </c>
      <c r="Q171" s="767">
        <f t="shared" si="59"/>
        <v>0</v>
      </c>
      <c r="R171" s="767">
        <f t="shared" si="59"/>
        <v>0</v>
      </c>
      <c r="S171" s="767">
        <f aca="true" t="shared" si="60" ref="S171:X171">SUM(S169:S170)</f>
        <v>2000</v>
      </c>
      <c r="T171" s="767">
        <f t="shared" si="60"/>
        <v>0</v>
      </c>
      <c r="U171" s="767">
        <f t="shared" si="60"/>
        <v>0</v>
      </c>
      <c r="V171" s="768">
        <f t="shared" si="60"/>
        <v>11057.48</v>
      </c>
      <c r="W171" s="983">
        <f t="shared" si="60"/>
        <v>0</v>
      </c>
      <c r="X171" s="984">
        <f t="shared" si="60"/>
        <v>0</v>
      </c>
      <c r="Z171" s="788">
        <f t="shared" si="32"/>
      </c>
      <c r="AA171" s="788">
        <f t="shared" si="33"/>
      </c>
      <c r="AB171" s="788">
        <f t="shared" si="34"/>
      </c>
    </row>
    <row r="172" spans="1:32" s="853" customFormat="1" ht="21" customHeight="1" thickBot="1">
      <c r="A172" s="1336" t="s">
        <v>61</v>
      </c>
      <c r="B172" s="1337"/>
      <c r="C172" s="1337"/>
      <c r="D172" s="1337"/>
      <c r="E172" s="1337"/>
      <c r="F172" s="1337"/>
      <c r="G172" s="1338"/>
      <c r="H172" s="738">
        <f aca="true" t="shared" si="61" ref="H172:X172">H159+H162+H168+H171</f>
        <v>78176.55</v>
      </c>
      <c r="I172" s="738">
        <f t="shared" si="61"/>
        <v>0</v>
      </c>
      <c r="J172" s="738">
        <f t="shared" si="61"/>
        <v>0</v>
      </c>
      <c r="K172" s="738">
        <f t="shared" si="61"/>
        <v>367600</v>
      </c>
      <c r="L172" s="738">
        <f t="shared" si="61"/>
        <v>0</v>
      </c>
      <c r="M172" s="738">
        <f t="shared" si="61"/>
        <v>349600</v>
      </c>
      <c r="N172" s="738">
        <f t="shared" si="61"/>
        <v>0</v>
      </c>
      <c r="O172" s="738">
        <f t="shared" si="61"/>
        <v>0</v>
      </c>
      <c r="P172" s="738">
        <f t="shared" si="61"/>
        <v>349600</v>
      </c>
      <c r="Q172" s="738">
        <f t="shared" si="61"/>
        <v>0</v>
      </c>
      <c r="R172" s="738">
        <f t="shared" si="61"/>
        <v>0</v>
      </c>
      <c r="S172" s="738">
        <f t="shared" si="61"/>
        <v>349300</v>
      </c>
      <c r="T172" s="738">
        <f t="shared" si="61"/>
        <v>0</v>
      </c>
      <c r="U172" s="738">
        <f t="shared" si="61"/>
        <v>0</v>
      </c>
      <c r="V172" s="738">
        <f t="shared" si="61"/>
        <v>427776.55</v>
      </c>
      <c r="W172" s="1016">
        <f t="shared" si="61"/>
        <v>0</v>
      </c>
      <c r="X172" s="738">
        <f t="shared" si="61"/>
        <v>0</v>
      </c>
      <c r="Z172" s="788">
        <f>IF(V172&gt;(H172+M172+N172),"ERRORE","")</f>
      </c>
      <c r="AA172" s="788">
        <f>IF(W172&gt;(H172+P172+Q172),"ERRORE","")</f>
      </c>
      <c r="AB172" s="788">
        <f>IF(X172&gt;(H172+S172+T172),"ERRORE","")</f>
      </c>
      <c r="AD172" s="854"/>
      <c r="AF172" s="854"/>
    </row>
    <row r="173" spans="1:28" s="853" customFormat="1" ht="21" customHeight="1" thickBot="1">
      <c r="A173" s="1336" t="s">
        <v>63</v>
      </c>
      <c r="B173" s="1337"/>
      <c r="C173" s="1337"/>
      <c r="D173" s="1337"/>
      <c r="E173" s="1337"/>
      <c r="F173" s="1337"/>
      <c r="G173" s="1338"/>
      <c r="H173" s="1342"/>
      <c r="I173" s="1343"/>
      <c r="J173" s="1343"/>
      <c r="K173" s="1343"/>
      <c r="L173" s="1343"/>
      <c r="M173" s="1343"/>
      <c r="N173" s="1343"/>
      <c r="O173" s="1343"/>
      <c r="P173" s="1343"/>
      <c r="Q173" s="1343"/>
      <c r="R173" s="1343"/>
      <c r="S173" s="1343"/>
      <c r="T173" s="1343"/>
      <c r="U173" s="1343"/>
      <c r="V173" s="1343"/>
      <c r="W173" s="1343"/>
      <c r="X173" s="1344"/>
      <c r="Z173" s="788">
        <f>IF(V173&gt;(H173+M173+N173),"ERRORE","")</f>
      </c>
      <c r="AA173" s="788">
        <f>IF(W173&gt;(H173+P173+Q173),"ERRORE","")</f>
      </c>
      <c r="AB173" s="788">
        <f>IF(X173&gt;(H173+S173+T173),"ERRORE","")</f>
      </c>
    </row>
    <row r="174" spans="1:28" s="773" customFormat="1" ht="27.75" customHeight="1">
      <c r="A174" s="953">
        <v>10</v>
      </c>
      <c r="B174" s="955">
        <v>5</v>
      </c>
      <c r="C174" s="954">
        <v>1</v>
      </c>
      <c r="D174" s="981">
        <v>660</v>
      </c>
      <c r="E174" s="954">
        <v>101</v>
      </c>
      <c r="F174" s="923" t="s">
        <v>97</v>
      </c>
      <c r="G174" s="956" t="s">
        <v>276</v>
      </c>
      <c r="H174" s="731">
        <v>4151.98</v>
      </c>
      <c r="I174" s="731"/>
      <c r="J174" s="731"/>
      <c r="K174" s="731">
        <f>24600+1000</f>
        <v>25600</v>
      </c>
      <c r="L174" s="731"/>
      <c r="M174" s="921">
        <v>25000</v>
      </c>
      <c r="N174" s="921"/>
      <c r="O174" s="921"/>
      <c r="P174" s="731">
        <v>25000</v>
      </c>
      <c r="Q174" s="779"/>
      <c r="R174" s="921"/>
      <c r="S174" s="731">
        <v>25000</v>
      </c>
      <c r="T174" s="780"/>
      <c r="U174" s="1015"/>
      <c r="V174" s="1099">
        <f>H174+M174</f>
        <v>29151.98</v>
      </c>
      <c r="W174" s="1032"/>
      <c r="X174" s="1015"/>
      <c r="Z174" s="788">
        <f t="shared" si="32"/>
      </c>
      <c r="AA174" s="788">
        <f t="shared" si="33"/>
      </c>
      <c r="AB174" s="788">
        <f t="shared" si="34"/>
      </c>
    </row>
    <row r="175" spans="1:28" s="773" customFormat="1" ht="27.75" customHeight="1">
      <c r="A175" s="960">
        <v>10</v>
      </c>
      <c r="B175" s="965">
        <v>5</v>
      </c>
      <c r="C175" s="961">
        <v>1</v>
      </c>
      <c r="D175" s="828">
        <v>670</v>
      </c>
      <c r="E175" s="961">
        <v>101</v>
      </c>
      <c r="F175" s="924" t="s">
        <v>98</v>
      </c>
      <c r="G175" s="959" t="s">
        <v>277</v>
      </c>
      <c r="H175" s="728">
        <v>2086.77</v>
      </c>
      <c r="I175" s="728"/>
      <c r="J175" s="728"/>
      <c r="K175" s="728">
        <f>7450+300</f>
        <v>7750</v>
      </c>
      <c r="L175" s="728"/>
      <c r="M175" s="774">
        <v>7700</v>
      </c>
      <c r="N175" s="774"/>
      <c r="O175" s="774"/>
      <c r="P175" s="728">
        <v>7700</v>
      </c>
      <c r="Q175" s="774"/>
      <c r="R175" s="774"/>
      <c r="S175" s="728">
        <v>7700</v>
      </c>
      <c r="T175" s="777"/>
      <c r="U175" s="964"/>
      <c r="V175" s="797">
        <f>H175+M175</f>
        <v>9786.77</v>
      </c>
      <c r="W175" s="963"/>
      <c r="X175" s="964"/>
      <c r="Z175" s="788">
        <f t="shared" si="32"/>
      </c>
      <c r="AA175" s="788">
        <f t="shared" si="33"/>
      </c>
      <c r="AB175" s="788">
        <f t="shared" si="34"/>
      </c>
    </row>
    <row r="176" spans="1:28" s="773" customFormat="1" ht="27.75" customHeight="1">
      <c r="A176" s="960">
        <v>10</v>
      </c>
      <c r="B176" s="965">
        <v>5</v>
      </c>
      <c r="C176" s="961">
        <v>1</v>
      </c>
      <c r="D176" s="962">
        <v>672</v>
      </c>
      <c r="E176" s="961">
        <v>101</v>
      </c>
      <c r="F176" s="924" t="s">
        <v>988</v>
      </c>
      <c r="G176" s="966" t="s">
        <v>749</v>
      </c>
      <c r="H176" s="728">
        <v>1500</v>
      </c>
      <c r="I176" s="728"/>
      <c r="J176" s="728"/>
      <c r="K176" s="728">
        <v>0</v>
      </c>
      <c r="L176" s="728"/>
      <c r="M176" s="774">
        <v>0</v>
      </c>
      <c r="N176" s="774"/>
      <c r="O176" s="774"/>
      <c r="P176" s="728">
        <v>0</v>
      </c>
      <c r="Q176" s="774"/>
      <c r="R176" s="774"/>
      <c r="S176" s="728">
        <v>0</v>
      </c>
      <c r="T176" s="777"/>
      <c r="U176" s="964"/>
      <c r="V176" s="778">
        <f aca="true" t="shared" si="62" ref="V176:V184">H176+M176</f>
        <v>1500</v>
      </c>
      <c r="W176" s="963"/>
      <c r="X176" s="964"/>
      <c r="Z176" s="788">
        <f t="shared" si="32"/>
      </c>
      <c r="AA176" s="788"/>
      <c r="AB176" s="788"/>
    </row>
    <row r="177" spans="1:28" s="773" customFormat="1" ht="27.75" customHeight="1">
      <c r="A177" s="960">
        <v>10</v>
      </c>
      <c r="B177" s="965">
        <v>5</v>
      </c>
      <c r="C177" s="961">
        <v>1</v>
      </c>
      <c r="D177" s="828">
        <v>675</v>
      </c>
      <c r="E177" s="961">
        <v>102</v>
      </c>
      <c r="F177" s="924" t="s">
        <v>105</v>
      </c>
      <c r="G177" s="959" t="s">
        <v>278</v>
      </c>
      <c r="H177" s="728">
        <v>531.15</v>
      </c>
      <c r="I177" s="728"/>
      <c r="J177" s="728"/>
      <c r="K177" s="728">
        <f>2200+100</f>
        <v>2300</v>
      </c>
      <c r="L177" s="728"/>
      <c r="M177" s="774">
        <v>2200</v>
      </c>
      <c r="N177" s="774"/>
      <c r="O177" s="774"/>
      <c r="P177" s="728">
        <v>2200</v>
      </c>
      <c r="Q177" s="774"/>
      <c r="R177" s="774"/>
      <c r="S177" s="728">
        <v>2200</v>
      </c>
      <c r="T177" s="777"/>
      <c r="U177" s="964"/>
      <c r="V177" s="797">
        <f t="shared" si="62"/>
        <v>2731.15</v>
      </c>
      <c r="W177" s="963"/>
      <c r="X177" s="964"/>
      <c r="Z177" s="788">
        <f t="shared" si="32"/>
      </c>
      <c r="AA177" s="788">
        <f t="shared" si="33"/>
      </c>
      <c r="AB177" s="788">
        <f t="shared" si="34"/>
      </c>
    </row>
    <row r="178" spans="1:28" s="773" customFormat="1" ht="27.75" customHeight="1">
      <c r="A178" s="960">
        <v>10</v>
      </c>
      <c r="B178" s="965">
        <v>5</v>
      </c>
      <c r="C178" s="961">
        <v>1</v>
      </c>
      <c r="D178" s="828">
        <v>690</v>
      </c>
      <c r="E178" s="961">
        <v>103</v>
      </c>
      <c r="F178" s="924" t="s">
        <v>110</v>
      </c>
      <c r="G178" s="966" t="s">
        <v>700</v>
      </c>
      <c r="H178" s="728">
        <v>22508.56</v>
      </c>
      <c r="I178" s="728"/>
      <c r="J178" s="728"/>
      <c r="K178" s="728">
        <f>45000+5000</f>
        <v>50000</v>
      </c>
      <c r="L178" s="728">
        <v>8435.61</v>
      </c>
      <c r="M178" s="774">
        <v>45000</v>
      </c>
      <c r="N178" s="774"/>
      <c r="O178" s="774"/>
      <c r="P178" s="728">
        <v>45000</v>
      </c>
      <c r="Q178" s="774"/>
      <c r="R178" s="774"/>
      <c r="S178" s="728">
        <v>45000</v>
      </c>
      <c r="T178" s="777"/>
      <c r="U178" s="964"/>
      <c r="V178" s="797">
        <f t="shared" si="62"/>
        <v>67508.56</v>
      </c>
      <c r="W178" s="963"/>
      <c r="X178" s="964"/>
      <c r="Z178" s="788">
        <f aca="true" t="shared" si="63" ref="Z178:Z288">IF(V178&gt;(H178+M178+N178),"ERRORE","")</f>
      </c>
      <c r="AA178" s="788">
        <f aca="true" t="shared" si="64" ref="AA178:AA288">IF(W178&gt;(H178+P178+Q178),"ERRORE","")</f>
      </c>
      <c r="AB178" s="788">
        <f aca="true" t="shared" si="65" ref="AB178:AB288">IF(X178&gt;(H178+S178+T178),"ERRORE","")</f>
      </c>
    </row>
    <row r="179" spans="1:28" s="773" customFormat="1" ht="27.75" customHeight="1">
      <c r="A179" s="960">
        <v>10</v>
      </c>
      <c r="B179" s="965">
        <v>5</v>
      </c>
      <c r="C179" s="961">
        <v>1</v>
      </c>
      <c r="D179" s="962">
        <v>700</v>
      </c>
      <c r="E179" s="961">
        <v>103</v>
      </c>
      <c r="F179" s="924" t="s">
        <v>99</v>
      </c>
      <c r="G179" s="959" t="s">
        <v>279</v>
      </c>
      <c r="H179" s="728">
        <v>0</v>
      </c>
      <c r="I179" s="728"/>
      <c r="J179" s="728"/>
      <c r="K179" s="728">
        <v>2000</v>
      </c>
      <c r="L179" s="728"/>
      <c r="M179" s="774">
        <v>2000</v>
      </c>
      <c r="N179" s="774"/>
      <c r="O179" s="774"/>
      <c r="P179" s="728">
        <v>2000</v>
      </c>
      <c r="Q179" s="774"/>
      <c r="R179" s="774"/>
      <c r="S179" s="728">
        <v>2000</v>
      </c>
      <c r="T179" s="777"/>
      <c r="U179" s="964"/>
      <c r="V179" s="778">
        <f t="shared" si="62"/>
        <v>2000</v>
      </c>
      <c r="W179" s="963"/>
      <c r="X179" s="964"/>
      <c r="Z179" s="788">
        <f t="shared" si="63"/>
      </c>
      <c r="AA179" s="788">
        <f t="shared" si="64"/>
      </c>
      <c r="AB179" s="788">
        <f t="shared" si="65"/>
      </c>
    </row>
    <row r="180" spans="1:28" s="773" customFormat="1" ht="27.75" customHeight="1">
      <c r="A180" s="960">
        <v>10</v>
      </c>
      <c r="B180" s="965">
        <v>5</v>
      </c>
      <c r="C180" s="961">
        <v>1</v>
      </c>
      <c r="D180" s="828">
        <v>720</v>
      </c>
      <c r="E180" s="961">
        <v>103</v>
      </c>
      <c r="F180" s="924" t="s">
        <v>99</v>
      </c>
      <c r="G180" s="959" t="s">
        <v>280</v>
      </c>
      <c r="H180" s="728">
        <v>13.42</v>
      </c>
      <c r="I180" s="728"/>
      <c r="J180" s="728"/>
      <c r="K180" s="728">
        <f>14000+3000</f>
        <v>17000</v>
      </c>
      <c r="L180" s="728"/>
      <c r="M180" s="774">
        <v>17000</v>
      </c>
      <c r="N180" s="774"/>
      <c r="O180" s="774"/>
      <c r="P180" s="728">
        <v>17000</v>
      </c>
      <c r="Q180" s="774"/>
      <c r="R180" s="774"/>
      <c r="S180" s="728">
        <v>17000</v>
      </c>
      <c r="T180" s="777"/>
      <c r="U180" s="964"/>
      <c r="V180" s="797">
        <f t="shared" si="62"/>
        <v>17013.42</v>
      </c>
      <c r="W180" s="963"/>
      <c r="X180" s="964"/>
      <c r="Z180" s="788">
        <f t="shared" si="63"/>
      </c>
      <c r="AA180" s="788">
        <f t="shared" si="64"/>
      </c>
      <c r="AB180" s="788">
        <f t="shared" si="65"/>
      </c>
    </row>
    <row r="181" spans="1:28" s="773" customFormat="1" ht="27.75" customHeight="1">
      <c r="A181" s="960">
        <v>10</v>
      </c>
      <c r="B181" s="965">
        <v>5</v>
      </c>
      <c r="C181" s="961">
        <v>1</v>
      </c>
      <c r="D181" s="828">
        <v>740</v>
      </c>
      <c r="E181" s="961">
        <v>103</v>
      </c>
      <c r="F181" s="924" t="s">
        <v>107</v>
      </c>
      <c r="G181" s="959" t="s">
        <v>281</v>
      </c>
      <c r="H181" s="728">
        <v>58471.99</v>
      </c>
      <c r="I181" s="728"/>
      <c r="J181" s="728"/>
      <c r="K181" s="728">
        <v>70000</v>
      </c>
      <c r="L181" s="728"/>
      <c r="M181" s="774">
        <v>70000</v>
      </c>
      <c r="N181" s="774"/>
      <c r="O181" s="774"/>
      <c r="P181" s="728">
        <v>70000</v>
      </c>
      <c r="Q181" s="774"/>
      <c r="R181" s="774"/>
      <c r="S181" s="728">
        <v>70000</v>
      </c>
      <c r="T181" s="777"/>
      <c r="U181" s="964"/>
      <c r="V181" s="797">
        <f t="shared" si="62"/>
        <v>128471.98999999999</v>
      </c>
      <c r="W181" s="963"/>
      <c r="X181" s="964"/>
      <c r="Z181" s="788">
        <f t="shared" si="63"/>
      </c>
      <c r="AA181" s="788">
        <f t="shared" si="64"/>
      </c>
      <c r="AB181" s="788">
        <f t="shared" si="65"/>
      </c>
    </row>
    <row r="182" spans="1:28" s="773" customFormat="1" ht="27.75" customHeight="1">
      <c r="A182" s="960">
        <v>10</v>
      </c>
      <c r="B182" s="965">
        <v>5</v>
      </c>
      <c r="C182" s="961">
        <v>1</v>
      </c>
      <c r="D182" s="962">
        <v>750</v>
      </c>
      <c r="E182" s="961">
        <v>103</v>
      </c>
      <c r="F182" s="924" t="s">
        <v>108</v>
      </c>
      <c r="G182" s="959" t="s">
        <v>282</v>
      </c>
      <c r="H182" s="728">
        <v>2782.01</v>
      </c>
      <c r="I182" s="728"/>
      <c r="J182" s="728"/>
      <c r="K182" s="728">
        <f>10000+3000</f>
        <v>13000</v>
      </c>
      <c r="L182" s="728"/>
      <c r="M182" s="774">
        <v>10000</v>
      </c>
      <c r="N182" s="774"/>
      <c r="O182" s="774"/>
      <c r="P182" s="728">
        <v>10000</v>
      </c>
      <c r="Q182" s="774"/>
      <c r="R182" s="774"/>
      <c r="S182" s="728">
        <v>10000</v>
      </c>
      <c r="T182" s="777"/>
      <c r="U182" s="964"/>
      <c r="V182" s="778">
        <f t="shared" si="62"/>
        <v>12782.01</v>
      </c>
      <c r="W182" s="963"/>
      <c r="X182" s="964"/>
      <c r="Z182" s="788">
        <f t="shared" si="63"/>
      </c>
      <c r="AA182" s="788">
        <f t="shared" si="64"/>
      </c>
      <c r="AB182" s="788">
        <f t="shared" si="65"/>
      </c>
    </row>
    <row r="183" spans="1:28" s="773" customFormat="1" ht="27.75" customHeight="1">
      <c r="A183" s="960">
        <v>10</v>
      </c>
      <c r="B183" s="965">
        <v>5</v>
      </c>
      <c r="C183" s="961">
        <v>1</v>
      </c>
      <c r="D183" s="962">
        <v>760</v>
      </c>
      <c r="E183" s="954">
        <v>107</v>
      </c>
      <c r="F183" s="923" t="s">
        <v>124</v>
      </c>
      <c r="G183" s="956" t="s">
        <v>340</v>
      </c>
      <c r="H183" s="728">
        <v>8381.51</v>
      </c>
      <c r="I183" s="728"/>
      <c r="J183" s="728"/>
      <c r="K183" s="728">
        <v>20166</v>
      </c>
      <c r="L183" s="728"/>
      <c r="M183" s="774">
        <v>15193</v>
      </c>
      <c r="N183" s="774"/>
      <c r="O183" s="774"/>
      <c r="P183" s="728">
        <v>13530</v>
      </c>
      <c r="Q183" s="774"/>
      <c r="R183" s="774"/>
      <c r="S183" s="728">
        <v>11796</v>
      </c>
      <c r="T183" s="777"/>
      <c r="U183" s="964"/>
      <c r="V183" s="778">
        <f t="shared" si="62"/>
        <v>23574.510000000002</v>
      </c>
      <c r="W183" s="963"/>
      <c r="X183" s="964"/>
      <c r="Z183" s="788">
        <f t="shared" si="63"/>
      </c>
      <c r="AA183" s="788">
        <f t="shared" si="64"/>
      </c>
      <c r="AB183" s="788">
        <f t="shared" si="65"/>
      </c>
    </row>
    <row r="184" spans="1:28" s="773" customFormat="1" ht="27.75" customHeight="1">
      <c r="A184" s="782">
        <v>10</v>
      </c>
      <c r="B184" s="967">
        <v>5</v>
      </c>
      <c r="C184" s="783">
        <v>1</v>
      </c>
      <c r="D184" s="827">
        <v>930</v>
      </c>
      <c r="E184" s="972">
        <v>107</v>
      </c>
      <c r="F184" s="923" t="s">
        <v>124</v>
      </c>
      <c r="G184" s="956" t="s">
        <v>340</v>
      </c>
      <c r="H184" s="729">
        <v>628.56</v>
      </c>
      <c r="I184" s="729"/>
      <c r="J184" s="729"/>
      <c r="K184" s="729">
        <v>1284</v>
      </c>
      <c r="L184" s="729"/>
      <c r="M184" s="775">
        <v>1177</v>
      </c>
      <c r="N184" s="775"/>
      <c r="O184" s="775"/>
      <c r="P184" s="729">
        <v>1064</v>
      </c>
      <c r="Q184" s="798"/>
      <c r="R184" s="775"/>
      <c r="S184" s="729">
        <v>946</v>
      </c>
      <c r="T184" s="799"/>
      <c r="U184" s="800"/>
      <c r="V184" s="797">
        <f t="shared" si="62"/>
        <v>1805.56</v>
      </c>
      <c r="W184" s="1033"/>
      <c r="X184" s="800"/>
      <c r="Z184" s="788">
        <f t="shared" si="63"/>
      </c>
      <c r="AA184" s="788">
        <f t="shared" si="64"/>
      </c>
      <c r="AB184" s="788">
        <f t="shared" si="65"/>
      </c>
    </row>
    <row r="185" spans="1:28" s="773" customFormat="1" ht="27.75" customHeight="1" thickBot="1">
      <c r="A185" s="1339" t="s">
        <v>64</v>
      </c>
      <c r="B185" s="1340"/>
      <c r="C185" s="1340"/>
      <c r="D185" s="1340"/>
      <c r="E185" s="1340"/>
      <c r="F185" s="1340"/>
      <c r="G185" s="1341"/>
      <c r="H185" s="732">
        <f aca="true" t="shared" si="66" ref="H185:X185">SUM(H174:H184)</f>
        <v>101055.94999999998</v>
      </c>
      <c r="I185" s="732">
        <f t="shared" si="66"/>
        <v>0</v>
      </c>
      <c r="J185" s="732">
        <f t="shared" si="66"/>
        <v>0</v>
      </c>
      <c r="K185" s="732">
        <f t="shared" si="66"/>
        <v>209100</v>
      </c>
      <c r="L185" s="732">
        <f t="shared" si="66"/>
        <v>8435.61</v>
      </c>
      <c r="M185" s="732">
        <f t="shared" si="66"/>
        <v>195270</v>
      </c>
      <c r="N185" s="732">
        <f t="shared" si="66"/>
        <v>0</v>
      </c>
      <c r="O185" s="732">
        <f t="shared" si="66"/>
        <v>0</v>
      </c>
      <c r="P185" s="732">
        <f t="shared" si="66"/>
        <v>193494</v>
      </c>
      <c r="Q185" s="767">
        <f t="shared" si="66"/>
        <v>0</v>
      </c>
      <c r="R185" s="767">
        <f t="shared" si="66"/>
        <v>0</v>
      </c>
      <c r="S185" s="767">
        <f t="shared" si="66"/>
        <v>191642</v>
      </c>
      <c r="T185" s="767">
        <f t="shared" si="66"/>
        <v>0</v>
      </c>
      <c r="U185" s="767">
        <f t="shared" si="66"/>
        <v>0</v>
      </c>
      <c r="V185" s="768">
        <f t="shared" si="66"/>
        <v>296325.95</v>
      </c>
      <c r="W185" s="983">
        <f t="shared" si="66"/>
        <v>0</v>
      </c>
      <c r="X185" s="984">
        <f t="shared" si="66"/>
        <v>0</v>
      </c>
      <c r="Z185" s="788">
        <f t="shared" si="63"/>
      </c>
      <c r="AA185" s="788">
        <f t="shared" si="64"/>
      </c>
      <c r="AB185" s="788">
        <f t="shared" si="65"/>
      </c>
    </row>
    <row r="186" spans="1:32" s="853" customFormat="1" ht="21" customHeight="1" thickBot="1">
      <c r="A186" s="1336" t="s">
        <v>66</v>
      </c>
      <c r="B186" s="1337"/>
      <c r="C186" s="1337"/>
      <c r="D186" s="1337"/>
      <c r="E186" s="1337"/>
      <c r="F186" s="1337"/>
      <c r="G186" s="1338"/>
      <c r="H186" s="738">
        <f>H185</f>
        <v>101055.94999999998</v>
      </c>
      <c r="I186" s="738">
        <f aca="true" t="shared" si="67" ref="I186:O186">I185</f>
        <v>0</v>
      </c>
      <c r="J186" s="738">
        <f t="shared" si="67"/>
        <v>0</v>
      </c>
      <c r="K186" s="738">
        <f t="shared" si="67"/>
        <v>209100</v>
      </c>
      <c r="L186" s="738">
        <f t="shared" si="67"/>
        <v>8435.61</v>
      </c>
      <c r="M186" s="738">
        <f t="shared" si="67"/>
        <v>195270</v>
      </c>
      <c r="N186" s="738">
        <f t="shared" si="67"/>
        <v>0</v>
      </c>
      <c r="O186" s="738">
        <f t="shared" si="67"/>
        <v>0</v>
      </c>
      <c r="P186" s="738">
        <f aca="true" t="shared" si="68" ref="P186:X186">P185</f>
        <v>193494</v>
      </c>
      <c r="Q186" s="738">
        <f t="shared" si="68"/>
        <v>0</v>
      </c>
      <c r="R186" s="738">
        <f t="shared" si="68"/>
        <v>0</v>
      </c>
      <c r="S186" s="738">
        <f t="shared" si="68"/>
        <v>191642</v>
      </c>
      <c r="T186" s="738">
        <f t="shared" si="68"/>
        <v>0</v>
      </c>
      <c r="U186" s="738">
        <f t="shared" si="68"/>
        <v>0</v>
      </c>
      <c r="V186" s="738">
        <f t="shared" si="68"/>
        <v>296325.95</v>
      </c>
      <c r="W186" s="1016">
        <f t="shared" si="68"/>
        <v>0</v>
      </c>
      <c r="X186" s="738">
        <f t="shared" si="68"/>
        <v>0</v>
      </c>
      <c r="Z186" s="788">
        <f t="shared" si="63"/>
      </c>
      <c r="AA186" s="788">
        <f t="shared" si="64"/>
      </c>
      <c r="AB186" s="788">
        <f t="shared" si="65"/>
      </c>
      <c r="AD186" s="854"/>
      <c r="AF186" s="854"/>
    </row>
    <row r="187" spans="1:28" s="853" customFormat="1" ht="21" customHeight="1" thickBot="1">
      <c r="A187" s="1336" t="s">
        <v>67</v>
      </c>
      <c r="B187" s="1337"/>
      <c r="C187" s="1337"/>
      <c r="D187" s="1337"/>
      <c r="E187" s="1337"/>
      <c r="F187" s="1337"/>
      <c r="G187" s="1338"/>
      <c r="H187" s="1342"/>
      <c r="I187" s="1343"/>
      <c r="J187" s="1343"/>
      <c r="K187" s="1343"/>
      <c r="L187" s="1343"/>
      <c r="M187" s="1343"/>
      <c r="N187" s="1343"/>
      <c r="O187" s="1343"/>
      <c r="P187" s="1343"/>
      <c r="Q187" s="1343"/>
      <c r="R187" s="1343"/>
      <c r="S187" s="1343"/>
      <c r="T187" s="1343"/>
      <c r="U187" s="1343"/>
      <c r="V187" s="1343"/>
      <c r="W187" s="1343"/>
      <c r="X187" s="1344"/>
      <c r="Z187" s="788">
        <f t="shared" si="63"/>
      </c>
      <c r="AA187" s="788">
        <f t="shared" si="64"/>
      </c>
      <c r="AB187" s="788">
        <f t="shared" si="65"/>
      </c>
    </row>
    <row r="188" spans="1:28" s="773" customFormat="1" ht="27.75" customHeight="1">
      <c r="A188" s="953">
        <v>11</v>
      </c>
      <c r="B188" s="955">
        <v>1</v>
      </c>
      <c r="C188" s="954">
        <v>1</v>
      </c>
      <c r="D188" s="981">
        <v>780</v>
      </c>
      <c r="E188" s="954">
        <v>104</v>
      </c>
      <c r="F188" s="923" t="s">
        <v>100</v>
      </c>
      <c r="G188" s="956" t="s">
        <v>285</v>
      </c>
      <c r="H188" s="728">
        <v>300</v>
      </c>
      <c r="I188" s="728"/>
      <c r="J188" s="728"/>
      <c r="K188" s="728">
        <f>2000+500</f>
        <v>2500</v>
      </c>
      <c r="L188" s="728"/>
      <c r="M188" s="728">
        <v>2500</v>
      </c>
      <c r="N188" s="774"/>
      <c r="O188" s="774"/>
      <c r="P188" s="774">
        <v>2500</v>
      </c>
      <c r="Q188" s="774"/>
      <c r="R188" s="774"/>
      <c r="S188" s="727">
        <v>2500</v>
      </c>
      <c r="T188" s="777"/>
      <c r="U188" s="1017"/>
      <c r="V188" s="1099">
        <f>H188+M188</f>
        <v>2800</v>
      </c>
      <c r="W188" s="963"/>
      <c r="X188" s="1034"/>
      <c r="Z188" s="788">
        <f t="shared" si="63"/>
      </c>
      <c r="AA188" s="788">
        <f t="shared" si="64"/>
      </c>
      <c r="AB188" s="788">
        <f t="shared" si="65"/>
      </c>
    </row>
    <row r="189" spans="1:28" s="773" customFormat="1" ht="27.75" customHeight="1" hidden="1">
      <c r="A189" s="953">
        <v>11</v>
      </c>
      <c r="B189" s="955">
        <v>1</v>
      </c>
      <c r="C189" s="954"/>
      <c r="D189" s="985"/>
      <c r="E189" s="954"/>
      <c r="F189" s="923"/>
      <c r="G189" s="956"/>
      <c r="H189" s="728"/>
      <c r="I189" s="728"/>
      <c r="J189" s="728"/>
      <c r="K189" s="728"/>
      <c r="L189" s="728"/>
      <c r="M189" s="728"/>
      <c r="N189" s="774"/>
      <c r="O189" s="774"/>
      <c r="P189" s="774"/>
      <c r="Q189" s="774"/>
      <c r="R189" s="774"/>
      <c r="S189" s="727"/>
      <c r="T189" s="777"/>
      <c r="U189" s="964"/>
      <c r="V189" s="778"/>
      <c r="W189" s="963"/>
      <c r="X189" s="1034"/>
      <c r="Z189" s="788">
        <f>IF(V189&gt;(H189+M189+N189),"ERRORE","")</f>
      </c>
      <c r="AA189" s="788">
        <f>IF(W189&gt;(H189+P189+Q189),"ERRORE","")</f>
      </c>
      <c r="AB189" s="788">
        <f>IF(X189&gt;(H189+S189+T189),"ERRORE","")</f>
      </c>
    </row>
    <row r="190" spans="1:28" s="773" customFormat="1" ht="27.75" customHeight="1" hidden="1">
      <c r="A190" s="953">
        <v>11</v>
      </c>
      <c r="B190" s="955">
        <v>1</v>
      </c>
      <c r="C190" s="954"/>
      <c r="D190" s="985"/>
      <c r="E190" s="954"/>
      <c r="F190" s="923"/>
      <c r="G190" s="956"/>
      <c r="H190" s="728"/>
      <c r="I190" s="728"/>
      <c r="J190" s="728"/>
      <c r="K190" s="728"/>
      <c r="L190" s="728"/>
      <c r="M190" s="728"/>
      <c r="N190" s="774"/>
      <c r="O190" s="774"/>
      <c r="P190" s="774"/>
      <c r="Q190" s="774"/>
      <c r="R190" s="774"/>
      <c r="S190" s="727"/>
      <c r="T190" s="777"/>
      <c r="U190" s="1018"/>
      <c r="V190" s="778"/>
      <c r="W190" s="963"/>
      <c r="X190" s="1034"/>
      <c r="Z190" s="788">
        <f>IF(V190&gt;(H190+M190+N190),"ERRORE","")</f>
      </c>
      <c r="AA190" s="788">
        <f>IF(W190&gt;(H190+P190+Q190),"ERRORE","")</f>
      </c>
      <c r="AB190" s="788">
        <f>IF(X190&gt;(H190+S190+T190),"ERRORE","")</f>
      </c>
    </row>
    <row r="191" spans="1:28" s="773" customFormat="1" ht="27.75" customHeight="1" thickBot="1">
      <c r="A191" s="1334" t="s">
        <v>65</v>
      </c>
      <c r="B191" s="1335"/>
      <c r="C191" s="1335"/>
      <c r="D191" s="1335"/>
      <c r="E191" s="1335"/>
      <c r="F191" s="1335"/>
      <c r="G191" s="1335"/>
      <c r="H191" s="732">
        <f aca="true" t="shared" si="69" ref="H191:X191">SUM(H188:H188)</f>
        <v>300</v>
      </c>
      <c r="I191" s="732">
        <f t="shared" si="69"/>
        <v>0</v>
      </c>
      <c r="J191" s="732">
        <f t="shared" si="69"/>
        <v>0</v>
      </c>
      <c r="K191" s="732">
        <f t="shared" si="69"/>
        <v>2500</v>
      </c>
      <c r="L191" s="732">
        <f t="shared" si="69"/>
        <v>0</v>
      </c>
      <c r="M191" s="732">
        <f t="shared" si="69"/>
        <v>2500</v>
      </c>
      <c r="N191" s="732">
        <f t="shared" si="69"/>
        <v>0</v>
      </c>
      <c r="O191" s="732">
        <f t="shared" si="69"/>
        <v>0</v>
      </c>
      <c r="P191" s="732">
        <f t="shared" si="69"/>
        <v>2500</v>
      </c>
      <c r="Q191" s="767">
        <f t="shared" si="69"/>
        <v>0</v>
      </c>
      <c r="R191" s="767">
        <f t="shared" si="69"/>
        <v>0</v>
      </c>
      <c r="S191" s="767">
        <f t="shared" si="69"/>
        <v>2500</v>
      </c>
      <c r="T191" s="767">
        <f t="shared" si="69"/>
        <v>0</v>
      </c>
      <c r="U191" s="767">
        <f t="shared" si="69"/>
        <v>0</v>
      </c>
      <c r="V191" s="768">
        <f t="shared" si="69"/>
        <v>2800</v>
      </c>
      <c r="W191" s="983">
        <f t="shared" si="69"/>
        <v>0</v>
      </c>
      <c r="X191" s="984">
        <f t="shared" si="69"/>
        <v>0</v>
      </c>
      <c r="Z191" s="788">
        <f t="shared" si="63"/>
      </c>
      <c r="AA191" s="788">
        <f t="shared" si="64"/>
      </c>
      <c r="AB191" s="788">
        <f t="shared" si="65"/>
      </c>
    </row>
    <row r="192" spans="1:30" s="853" customFormat="1" ht="21" customHeight="1" thickBot="1">
      <c r="A192" s="1336" t="s">
        <v>68</v>
      </c>
      <c r="B192" s="1337"/>
      <c r="C192" s="1337"/>
      <c r="D192" s="1337"/>
      <c r="E192" s="1337"/>
      <c r="F192" s="1337"/>
      <c r="G192" s="1338"/>
      <c r="H192" s="738">
        <f>H191</f>
        <v>300</v>
      </c>
      <c r="I192" s="738">
        <f aca="true" t="shared" si="70" ref="I192:O192">I191</f>
        <v>0</v>
      </c>
      <c r="J192" s="738">
        <f t="shared" si="70"/>
        <v>0</v>
      </c>
      <c r="K192" s="738">
        <f t="shared" si="70"/>
        <v>2500</v>
      </c>
      <c r="L192" s="738">
        <f t="shared" si="70"/>
        <v>0</v>
      </c>
      <c r="M192" s="738">
        <f t="shared" si="70"/>
        <v>2500</v>
      </c>
      <c r="N192" s="738">
        <f t="shared" si="70"/>
        <v>0</v>
      </c>
      <c r="O192" s="738">
        <f t="shared" si="70"/>
        <v>0</v>
      </c>
      <c r="P192" s="738">
        <f aca="true" t="shared" si="71" ref="P192:X192">P191</f>
        <v>2500</v>
      </c>
      <c r="Q192" s="738">
        <f t="shared" si="71"/>
        <v>0</v>
      </c>
      <c r="R192" s="738">
        <f t="shared" si="71"/>
        <v>0</v>
      </c>
      <c r="S192" s="738">
        <f t="shared" si="71"/>
        <v>2500</v>
      </c>
      <c r="T192" s="738">
        <f t="shared" si="71"/>
        <v>0</v>
      </c>
      <c r="U192" s="738">
        <f t="shared" si="71"/>
        <v>0</v>
      </c>
      <c r="V192" s="738">
        <f t="shared" si="71"/>
        <v>2800</v>
      </c>
      <c r="W192" s="1016">
        <f t="shared" si="71"/>
        <v>0</v>
      </c>
      <c r="X192" s="738">
        <f t="shared" si="71"/>
        <v>0</v>
      </c>
      <c r="Z192" s="788">
        <f>IF(V192&gt;(H192+M192+N192),"ERRORE","")</f>
      </c>
      <c r="AA192" s="788">
        <f>IF(W192&gt;(H192+P192+Q192),"ERRORE","")</f>
      </c>
      <c r="AB192" s="788">
        <f>IF(X192&gt;(H192+S192+T192),"ERRORE","")</f>
      </c>
      <c r="AD192" s="854"/>
    </row>
    <row r="193" spans="1:28" s="853" customFormat="1" ht="21" customHeight="1" thickBot="1">
      <c r="A193" s="1336" t="s">
        <v>69</v>
      </c>
      <c r="B193" s="1337"/>
      <c r="C193" s="1337"/>
      <c r="D193" s="1337"/>
      <c r="E193" s="1337"/>
      <c r="F193" s="1337"/>
      <c r="G193" s="1338"/>
      <c r="H193" s="1342"/>
      <c r="I193" s="1343"/>
      <c r="J193" s="1343"/>
      <c r="K193" s="1343"/>
      <c r="L193" s="1343"/>
      <c r="M193" s="1343"/>
      <c r="N193" s="1343"/>
      <c r="O193" s="1343"/>
      <c r="P193" s="1343"/>
      <c r="Q193" s="1343"/>
      <c r="R193" s="1343"/>
      <c r="S193" s="1343"/>
      <c r="T193" s="1343"/>
      <c r="U193" s="1343"/>
      <c r="V193" s="1343"/>
      <c r="W193" s="1343"/>
      <c r="X193" s="1344"/>
      <c r="Z193" s="788">
        <f>IF(V193&gt;(H193+M193+N193),"ERRORE","")</f>
      </c>
      <c r="AA193" s="788">
        <f>IF(W193&gt;(H193+P193+Q193),"ERRORE","")</f>
      </c>
      <c r="AB193" s="788">
        <f>IF(X193&gt;(H193+S193+T193),"ERRORE","")</f>
      </c>
    </row>
    <row r="194" spans="1:28" s="773" customFormat="1" ht="27.75" customHeight="1">
      <c r="A194" s="1005">
        <v>12</v>
      </c>
      <c r="B194" s="979">
        <v>1</v>
      </c>
      <c r="C194" s="972">
        <v>1</v>
      </c>
      <c r="D194" s="1021">
        <v>850</v>
      </c>
      <c r="E194" s="972">
        <v>104</v>
      </c>
      <c r="F194" s="973" t="s">
        <v>114</v>
      </c>
      <c r="G194" s="974" t="s">
        <v>156</v>
      </c>
      <c r="H194" s="740">
        <v>3500</v>
      </c>
      <c r="I194" s="740"/>
      <c r="J194" s="740"/>
      <c r="K194" s="740">
        <v>0</v>
      </c>
      <c r="L194" s="740"/>
      <c r="M194" s="740">
        <v>0</v>
      </c>
      <c r="N194" s="922"/>
      <c r="O194" s="922"/>
      <c r="P194" s="922">
        <v>0</v>
      </c>
      <c r="Q194" s="936"/>
      <c r="R194" s="935"/>
      <c r="S194" s="740">
        <v>0</v>
      </c>
      <c r="T194" s="935"/>
      <c r="U194" s="1017"/>
      <c r="V194" s="841">
        <f>H194+M194</f>
        <v>3500</v>
      </c>
      <c r="W194" s="935"/>
      <c r="X194" s="1017"/>
      <c r="Z194" s="788">
        <f t="shared" si="63"/>
      </c>
      <c r="AA194" s="788">
        <f t="shared" si="64"/>
      </c>
      <c r="AB194" s="788">
        <f t="shared" si="65"/>
      </c>
    </row>
    <row r="195" spans="1:28" s="773" customFormat="1" ht="27.75" customHeight="1" hidden="1">
      <c r="A195" s="960">
        <v>12</v>
      </c>
      <c r="B195" s="965">
        <v>1</v>
      </c>
      <c r="C195" s="961"/>
      <c r="D195" s="962"/>
      <c r="E195" s="961"/>
      <c r="F195" s="924"/>
      <c r="G195" s="959"/>
      <c r="H195" s="728"/>
      <c r="I195" s="728"/>
      <c r="J195" s="728"/>
      <c r="K195" s="728"/>
      <c r="L195" s="728"/>
      <c r="M195" s="728"/>
      <c r="N195" s="774"/>
      <c r="O195" s="774"/>
      <c r="P195" s="774"/>
      <c r="Q195" s="774"/>
      <c r="R195" s="777"/>
      <c r="S195" s="728"/>
      <c r="T195" s="777"/>
      <c r="U195" s="964"/>
      <c r="V195" s="778">
        <f>H195+M195</f>
        <v>0</v>
      </c>
      <c r="W195" s="777"/>
      <c r="X195" s="964"/>
      <c r="Z195" s="788">
        <f>IF(V195&gt;(H195+M195+N195),"ERRORE","")</f>
      </c>
      <c r="AA195" s="788">
        <f>IF(W195&gt;(H195+P195+Q195),"ERRORE","")</f>
      </c>
      <c r="AB195" s="788">
        <f>IF(X195&gt;(H195+S195+T195),"ERRORE","")</f>
      </c>
    </row>
    <row r="196" spans="1:28" s="773" customFormat="1" ht="27.75" customHeight="1" hidden="1">
      <c r="A196" s="1005">
        <v>12</v>
      </c>
      <c r="B196" s="979">
        <v>1</v>
      </c>
      <c r="C196" s="972"/>
      <c r="D196" s="1021"/>
      <c r="E196" s="972"/>
      <c r="F196" s="973"/>
      <c r="G196" s="974"/>
      <c r="H196" s="740"/>
      <c r="I196" s="740"/>
      <c r="J196" s="740"/>
      <c r="K196" s="740"/>
      <c r="L196" s="740"/>
      <c r="M196" s="740"/>
      <c r="N196" s="922"/>
      <c r="O196" s="922"/>
      <c r="P196" s="922"/>
      <c r="Q196" s="934"/>
      <c r="R196" s="935"/>
      <c r="S196" s="740"/>
      <c r="T196" s="935"/>
      <c r="U196" s="1018"/>
      <c r="V196" s="778">
        <f>H196+M196</f>
        <v>0</v>
      </c>
      <c r="W196" s="935"/>
      <c r="X196" s="1018"/>
      <c r="Z196" s="788">
        <f>IF(V196&gt;(H196+M196+N196),"ERRORE","")</f>
      </c>
      <c r="AA196" s="788">
        <f>IF(W196&gt;(H196+P196+Q196),"ERRORE","")</f>
      </c>
      <c r="AB196" s="788">
        <f>IF(X196&gt;(H196+S196+T196),"ERRORE","")</f>
      </c>
    </row>
    <row r="197" spans="1:28" s="773" customFormat="1" ht="27.75" customHeight="1">
      <c r="A197" s="1339" t="s">
        <v>71</v>
      </c>
      <c r="B197" s="1340"/>
      <c r="C197" s="1340"/>
      <c r="D197" s="1340"/>
      <c r="E197" s="1340"/>
      <c r="F197" s="1340"/>
      <c r="G197" s="1341"/>
      <c r="H197" s="732">
        <f aca="true" t="shared" si="72" ref="H197:R197">SUM(H194)</f>
        <v>3500</v>
      </c>
      <c r="I197" s="732">
        <f t="shared" si="72"/>
        <v>0</v>
      </c>
      <c r="J197" s="732">
        <f t="shared" si="72"/>
        <v>0</v>
      </c>
      <c r="K197" s="732">
        <f t="shared" si="72"/>
        <v>0</v>
      </c>
      <c r="L197" s="732">
        <f t="shared" si="72"/>
        <v>0</v>
      </c>
      <c r="M197" s="732">
        <f t="shared" si="72"/>
        <v>0</v>
      </c>
      <c r="N197" s="732">
        <f t="shared" si="72"/>
        <v>0</v>
      </c>
      <c r="O197" s="732">
        <f t="shared" si="72"/>
        <v>0</v>
      </c>
      <c r="P197" s="732">
        <f t="shared" si="72"/>
        <v>0</v>
      </c>
      <c r="Q197" s="767">
        <f t="shared" si="72"/>
        <v>0</v>
      </c>
      <c r="R197" s="767">
        <f t="shared" si="72"/>
        <v>0</v>
      </c>
      <c r="S197" s="767">
        <f aca="true" t="shared" si="73" ref="S197:X197">SUM(S194)</f>
        <v>0</v>
      </c>
      <c r="T197" s="767">
        <f t="shared" si="73"/>
        <v>0</v>
      </c>
      <c r="U197" s="767">
        <f t="shared" si="73"/>
        <v>0</v>
      </c>
      <c r="V197" s="768">
        <f t="shared" si="73"/>
        <v>3500</v>
      </c>
      <c r="W197" s="983">
        <f t="shared" si="73"/>
        <v>0</v>
      </c>
      <c r="X197" s="984">
        <f t="shared" si="73"/>
        <v>0</v>
      </c>
      <c r="Z197" s="788">
        <f t="shared" si="63"/>
      </c>
      <c r="AA197" s="788">
        <f t="shared" si="64"/>
      </c>
      <c r="AB197" s="788">
        <f t="shared" si="65"/>
      </c>
    </row>
    <row r="198" spans="1:28" s="773" customFormat="1" ht="27.75" customHeight="1">
      <c r="A198" s="953">
        <v>12</v>
      </c>
      <c r="B198" s="955">
        <v>3</v>
      </c>
      <c r="C198" s="954">
        <v>1</v>
      </c>
      <c r="D198" s="981">
        <v>860</v>
      </c>
      <c r="E198" s="954">
        <v>103</v>
      </c>
      <c r="F198" s="923" t="s">
        <v>108</v>
      </c>
      <c r="G198" s="956" t="s">
        <v>286</v>
      </c>
      <c r="H198" s="731">
        <v>10953.27</v>
      </c>
      <c r="I198" s="731"/>
      <c r="J198" s="731"/>
      <c r="K198" s="726">
        <v>20000</v>
      </c>
      <c r="L198" s="731"/>
      <c r="M198" s="731">
        <v>20000</v>
      </c>
      <c r="N198" s="921"/>
      <c r="O198" s="921"/>
      <c r="P198" s="921">
        <v>20000</v>
      </c>
      <c r="Q198" s="779"/>
      <c r="R198" s="921"/>
      <c r="S198" s="731">
        <v>20000</v>
      </c>
      <c r="T198" s="780"/>
      <c r="U198" s="1015"/>
      <c r="V198" s="794">
        <f>H198+M198</f>
        <v>30953.27</v>
      </c>
      <c r="W198" s="1088"/>
      <c r="X198" s="1015"/>
      <c r="Z198" s="788">
        <f t="shared" si="63"/>
      </c>
      <c r="AA198" s="788">
        <f t="shared" si="64"/>
      </c>
      <c r="AB198" s="788">
        <f t="shared" si="65"/>
      </c>
    </row>
    <row r="199" spans="1:28" s="773" customFormat="1" ht="27.75" customHeight="1">
      <c r="A199" s="953">
        <v>12</v>
      </c>
      <c r="B199" s="955">
        <v>3</v>
      </c>
      <c r="C199" s="954">
        <v>1</v>
      </c>
      <c r="D199" s="981" t="s">
        <v>701</v>
      </c>
      <c r="E199" s="954">
        <v>103</v>
      </c>
      <c r="F199" s="923" t="s">
        <v>989</v>
      </c>
      <c r="G199" s="1001" t="s">
        <v>702</v>
      </c>
      <c r="H199" s="731">
        <v>3370.86</v>
      </c>
      <c r="I199" s="731"/>
      <c r="J199" s="731"/>
      <c r="K199" s="726">
        <v>84000</v>
      </c>
      <c r="L199" s="731"/>
      <c r="M199" s="731">
        <v>84000</v>
      </c>
      <c r="N199" s="921"/>
      <c r="O199" s="921"/>
      <c r="P199" s="921">
        <v>84000</v>
      </c>
      <c r="Q199" s="921"/>
      <c r="R199" s="921"/>
      <c r="S199" s="731">
        <v>84000</v>
      </c>
      <c r="T199" s="780"/>
      <c r="U199" s="958"/>
      <c r="V199" s="794">
        <f>H199+M199</f>
        <v>87370.86</v>
      </c>
      <c r="W199" s="935"/>
      <c r="X199" s="958"/>
      <c r="Z199" s="788"/>
      <c r="AA199" s="788"/>
      <c r="AB199" s="788"/>
    </row>
    <row r="200" spans="1:28" s="773" customFormat="1" ht="27.75" customHeight="1">
      <c r="A200" s="960">
        <v>12</v>
      </c>
      <c r="B200" s="965">
        <v>3</v>
      </c>
      <c r="C200" s="961">
        <v>1</v>
      </c>
      <c r="D200" s="962">
        <v>861</v>
      </c>
      <c r="E200" s="961">
        <v>103</v>
      </c>
      <c r="F200" s="924" t="s">
        <v>108</v>
      </c>
      <c r="G200" s="959" t="s">
        <v>287</v>
      </c>
      <c r="H200" s="728">
        <v>2688.01</v>
      </c>
      <c r="I200" s="728"/>
      <c r="J200" s="728"/>
      <c r="K200" s="727">
        <v>10000</v>
      </c>
      <c r="L200" s="728"/>
      <c r="M200" s="728">
        <v>10000</v>
      </c>
      <c r="N200" s="774"/>
      <c r="O200" s="774"/>
      <c r="P200" s="774">
        <v>10000</v>
      </c>
      <c r="Q200" s="774"/>
      <c r="R200" s="774"/>
      <c r="S200" s="728">
        <v>10000</v>
      </c>
      <c r="T200" s="777"/>
      <c r="U200" s="964"/>
      <c r="V200" s="781">
        <f>H200+M200</f>
        <v>12688.01</v>
      </c>
      <c r="W200" s="963"/>
      <c r="X200" s="964"/>
      <c r="Z200" s="788">
        <f t="shared" si="63"/>
      </c>
      <c r="AA200" s="788">
        <f t="shared" si="64"/>
      </c>
      <c r="AB200" s="788">
        <f t="shared" si="65"/>
      </c>
    </row>
    <row r="201" spans="1:28" s="773" customFormat="1" ht="27.75" customHeight="1">
      <c r="A201" s="782">
        <v>12</v>
      </c>
      <c r="B201" s="967">
        <v>3</v>
      </c>
      <c r="C201" s="783">
        <v>1</v>
      </c>
      <c r="D201" s="827">
        <v>892</v>
      </c>
      <c r="E201" s="783">
        <v>104</v>
      </c>
      <c r="F201" s="924" t="s">
        <v>125</v>
      </c>
      <c r="G201" s="785" t="s">
        <v>707</v>
      </c>
      <c r="H201" s="729">
        <v>840</v>
      </c>
      <c r="I201" s="729"/>
      <c r="J201" s="729"/>
      <c r="K201" s="739">
        <v>79807.72</v>
      </c>
      <c r="L201" s="729"/>
      <c r="M201" s="729">
        <f>ENTRATA!K37</f>
        <v>60000</v>
      </c>
      <c r="N201" s="729">
        <f>ENTRATA!L37</f>
        <v>0</v>
      </c>
      <c r="O201" s="729">
        <f>ENTRATA!M37</f>
        <v>0</v>
      </c>
      <c r="P201" s="729">
        <f>ENTRATA!N37</f>
        <v>60000</v>
      </c>
      <c r="Q201" s="729">
        <f>ENTRATA!O37</f>
        <v>0</v>
      </c>
      <c r="R201" s="729">
        <f>ENTRATA!P37</f>
        <v>0</v>
      </c>
      <c r="S201" s="729">
        <f>ENTRATA!Q37</f>
        <v>60000</v>
      </c>
      <c r="T201" s="799"/>
      <c r="U201" s="800"/>
      <c r="V201" s="794">
        <f>H201+M201</f>
        <v>60840</v>
      </c>
      <c r="W201" s="935"/>
      <c r="X201" s="800"/>
      <c r="Z201" s="788">
        <f t="shared" si="63"/>
      </c>
      <c r="AA201" s="788">
        <f t="shared" si="64"/>
      </c>
      <c r="AB201" s="788">
        <f t="shared" si="65"/>
      </c>
    </row>
    <row r="202" spans="1:28" s="773" customFormat="1" ht="27.75" customHeight="1">
      <c r="A202" s="1339" t="s">
        <v>72</v>
      </c>
      <c r="B202" s="1340"/>
      <c r="C202" s="1340"/>
      <c r="D202" s="1340"/>
      <c r="E202" s="1340"/>
      <c r="F202" s="1340"/>
      <c r="G202" s="1341"/>
      <c r="H202" s="732">
        <f aca="true" t="shared" si="74" ref="H202:P202">SUM(H198:H201)</f>
        <v>17852.14</v>
      </c>
      <c r="I202" s="732">
        <f t="shared" si="74"/>
        <v>0</v>
      </c>
      <c r="J202" s="732">
        <f t="shared" si="74"/>
        <v>0</v>
      </c>
      <c r="K202" s="732">
        <f t="shared" si="74"/>
        <v>193807.72</v>
      </c>
      <c r="L202" s="732">
        <f t="shared" si="74"/>
        <v>0</v>
      </c>
      <c r="M202" s="732">
        <f t="shared" si="74"/>
        <v>174000</v>
      </c>
      <c r="N202" s="732">
        <f t="shared" si="74"/>
        <v>0</v>
      </c>
      <c r="O202" s="732">
        <f t="shared" si="74"/>
        <v>0</v>
      </c>
      <c r="P202" s="767">
        <f t="shared" si="74"/>
        <v>174000</v>
      </c>
      <c r="Q202" s="767">
        <f aca="true" t="shared" si="75" ref="Q202:X202">SUM(Q198:Q201)</f>
        <v>0</v>
      </c>
      <c r="R202" s="767">
        <f t="shared" si="75"/>
        <v>0</v>
      </c>
      <c r="S202" s="767">
        <f t="shared" si="75"/>
        <v>174000</v>
      </c>
      <c r="T202" s="767">
        <f t="shared" si="75"/>
        <v>0</v>
      </c>
      <c r="U202" s="767">
        <f t="shared" si="75"/>
        <v>0</v>
      </c>
      <c r="V202" s="768">
        <f t="shared" si="75"/>
        <v>191852.14</v>
      </c>
      <c r="W202" s="983">
        <f t="shared" si="75"/>
        <v>0</v>
      </c>
      <c r="X202" s="984">
        <f t="shared" si="75"/>
        <v>0</v>
      </c>
      <c r="Z202" s="788">
        <f t="shared" si="63"/>
      </c>
      <c r="AA202" s="788">
        <f t="shared" si="64"/>
      </c>
      <c r="AB202" s="788">
        <f t="shared" si="65"/>
      </c>
    </row>
    <row r="203" spans="1:28" s="773" customFormat="1" ht="27.75" customHeight="1" hidden="1">
      <c r="A203" s="1023">
        <v>12</v>
      </c>
      <c r="B203" s="1024">
        <v>4</v>
      </c>
      <c r="C203" s="1025">
        <v>1</v>
      </c>
      <c r="D203" s="1026"/>
      <c r="E203" s="1025"/>
      <c r="F203" s="1027"/>
      <c r="G203" s="1028"/>
      <c r="H203" s="741"/>
      <c r="I203" s="741"/>
      <c r="J203" s="741"/>
      <c r="K203" s="741"/>
      <c r="L203" s="741"/>
      <c r="M203" s="741"/>
      <c r="N203" s="779"/>
      <c r="O203" s="779"/>
      <c r="P203" s="779"/>
      <c r="Q203" s="779"/>
      <c r="R203" s="779"/>
      <c r="S203" s="741"/>
      <c r="T203" s="1029"/>
      <c r="U203" s="1015"/>
      <c r="V203" s="840"/>
      <c r="W203" s="1029"/>
      <c r="X203" s="1015"/>
      <c r="Z203" s="788">
        <f t="shared" si="63"/>
      </c>
      <c r="AA203" s="788">
        <f t="shared" si="64"/>
      </c>
      <c r="AB203" s="788">
        <f t="shared" si="65"/>
      </c>
    </row>
    <row r="204" spans="1:28" s="773" customFormat="1" ht="27.75" customHeight="1" hidden="1">
      <c r="A204" s="1005">
        <v>12</v>
      </c>
      <c r="B204" s="979">
        <v>4</v>
      </c>
      <c r="C204" s="972">
        <v>1</v>
      </c>
      <c r="D204" s="1021"/>
      <c r="E204" s="972"/>
      <c r="F204" s="973"/>
      <c r="G204" s="974"/>
      <c r="H204" s="740"/>
      <c r="I204" s="740"/>
      <c r="J204" s="740"/>
      <c r="K204" s="740"/>
      <c r="L204" s="740"/>
      <c r="M204" s="740"/>
      <c r="N204" s="922"/>
      <c r="O204" s="922"/>
      <c r="P204" s="922"/>
      <c r="Q204" s="934"/>
      <c r="R204" s="922"/>
      <c r="S204" s="740"/>
      <c r="T204" s="935"/>
      <c r="U204" s="1018"/>
      <c r="V204" s="839"/>
      <c r="W204" s="935"/>
      <c r="X204" s="1018"/>
      <c r="Z204" s="788">
        <f>IF(V204&gt;(H204+M204+N204),"ERRORE","")</f>
      </c>
      <c r="AA204" s="788">
        <f>IF(W204&gt;(H204+P204+Q204),"ERRORE","")</f>
      </c>
      <c r="AB204" s="788">
        <f>IF(X204&gt;(H204+S204+T204),"ERRORE","")</f>
      </c>
    </row>
    <row r="205" spans="1:28" s="773" customFormat="1" ht="27.75" customHeight="1">
      <c r="A205" s="1334" t="s">
        <v>342</v>
      </c>
      <c r="B205" s="1335"/>
      <c r="C205" s="1335"/>
      <c r="D205" s="1335"/>
      <c r="E205" s="1335"/>
      <c r="F205" s="1335"/>
      <c r="G205" s="1335"/>
      <c r="H205" s="732">
        <f aca="true" t="shared" si="76" ref="H205:R205">SUM(H203)</f>
        <v>0</v>
      </c>
      <c r="I205" s="732">
        <f t="shared" si="76"/>
        <v>0</v>
      </c>
      <c r="J205" s="732">
        <f t="shared" si="76"/>
        <v>0</v>
      </c>
      <c r="K205" s="732">
        <f t="shared" si="76"/>
        <v>0</v>
      </c>
      <c r="L205" s="732">
        <f t="shared" si="76"/>
        <v>0</v>
      </c>
      <c r="M205" s="732">
        <f t="shared" si="76"/>
        <v>0</v>
      </c>
      <c r="N205" s="732">
        <f t="shared" si="76"/>
        <v>0</v>
      </c>
      <c r="O205" s="732">
        <f t="shared" si="76"/>
        <v>0</v>
      </c>
      <c r="P205" s="732">
        <f t="shared" si="76"/>
        <v>0</v>
      </c>
      <c r="Q205" s="767">
        <f t="shared" si="76"/>
        <v>0</v>
      </c>
      <c r="R205" s="767">
        <f t="shared" si="76"/>
        <v>0</v>
      </c>
      <c r="S205" s="767">
        <f aca="true" t="shared" si="77" ref="S205:X205">SUM(S203)</f>
        <v>0</v>
      </c>
      <c r="T205" s="767">
        <f t="shared" si="77"/>
        <v>0</v>
      </c>
      <c r="U205" s="767">
        <f t="shared" si="77"/>
        <v>0</v>
      </c>
      <c r="V205" s="768">
        <f t="shared" si="77"/>
        <v>0</v>
      </c>
      <c r="W205" s="983">
        <f t="shared" si="77"/>
        <v>0</v>
      </c>
      <c r="X205" s="984">
        <f t="shared" si="77"/>
        <v>0</v>
      </c>
      <c r="Z205" s="788">
        <f t="shared" si="63"/>
      </c>
      <c r="AA205" s="788">
        <f t="shared" si="64"/>
      </c>
      <c r="AB205" s="788">
        <f t="shared" si="65"/>
      </c>
    </row>
    <row r="206" spans="1:28" s="773" customFormat="1" ht="27.75" customHeight="1">
      <c r="A206" s="953">
        <v>12</v>
      </c>
      <c r="B206" s="955">
        <v>5</v>
      </c>
      <c r="C206" s="954">
        <v>1</v>
      </c>
      <c r="D206" s="981">
        <v>865</v>
      </c>
      <c r="E206" s="954">
        <v>103</v>
      </c>
      <c r="F206" s="923" t="s">
        <v>987</v>
      </c>
      <c r="G206" s="1001" t="s">
        <v>677</v>
      </c>
      <c r="H206" s="726">
        <v>4360.08</v>
      </c>
      <c r="I206" s="731"/>
      <c r="J206" s="731"/>
      <c r="K206" s="726">
        <v>15000</v>
      </c>
      <c r="L206" s="731"/>
      <c r="M206" s="731">
        <v>15000</v>
      </c>
      <c r="N206" s="921"/>
      <c r="O206" s="921"/>
      <c r="P206" s="921">
        <v>15000</v>
      </c>
      <c r="Q206" s="921"/>
      <c r="R206" s="921"/>
      <c r="S206" s="731">
        <v>15000</v>
      </c>
      <c r="T206" s="780"/>
      <c r="U206" s="964"/>
      <c r="V206" s="794">
        <f>H206+M206</f>
        <v>19360.08</v>
      </c>
      <c r="W206" s="957"/>
      <c r="X206" s="958"/>
      <c r="Z206" s="788">
        <f>IF(V206&gt;(H206+M206+N206),"ERRORE","")</f>
      </c>
      <c r="AA206" s="788">
        <f>IF(W206&gt;(H206+P206+Q206),"ERRORE","")</f>
      </c>
      <c r="AB206" s="788">
        <f>IF(X206&gt;(H206+S206+T206),"ERRORE","")</f>
      </c>
    </row>
    <row r="207" spans="1:28" s="773" customFormat="1" ht="27.75" customHeight="1">
      <c r="A207" s="953">
        <v>12</v>
      </c>
      <c r="B207" s="955">
        <v>5</v>
      </c>
      <c r="C207" s="954">
        <v>1</v>
      </c>
      <c r="D207" s="981" t="s">
        <v>703</v>
      </c>
      <c r="E207" s="954">
        <v>103</v>
      </c>
      <c r="F207" s="923" t="s">
        <v>987</v>
      </c>
      <c r="G207" s="1001" t="s">
        <v>704</v>
      </c>
      <c r="H207" s="731">
        <v>7679.99</v>
      </c>
      <c r="I207" s="731"/>
      <c r="J207" s="731"/>
      <c r="K207" s="726">
        <v>29000</v>
      </c>
      <c r="L207" s="731"/>
      <c r="M207" s="731">
        <v>29000</v>
      </c>
      <c r="N207" s="921"/>
      <c r="O207" s="921"/>
      <c r="P207" s="921">
        <v>29000</v>
      </c>
      <c r="Q207" s="921"/>
      <c r="R207" s="921"/>
      <c r="S207" s="731">
        <v>29000</v>
      </c>
      <c r="T207" s="780"/>
      <c r="U207" s="1018"/>
      <c r="V207" s="794">
        <f>H207+M207</f>
        <v>36679.99</v>
      </c>
      <c r="W207" s="957"/>
      <c r="X207" s="958"/>
      <c r="Z207" s="788">
        <f>IF(V207&gt;(H207+M207+N207),"ERRORE","")</f>
      </c>
      <c r="AA207" s="788">
        <f>IF(W207&gt;(H207+P207+Q207),"ERRORE","")</f>
      </c>
      <c r="AB207" s="788">
        <f>IF(X207&gt;(H207+S207+T207),"ERRORE","")</f>
      </c>
    </row>
    <row r="208" spans="1:28" s="773" customFormat="1" ht="27.75" customHeight="1">
      <c r="A208" s="953">
        <v>12</v>
      </c>
      <c r="B208" s="955">
        <v>5</v>
      </c>
      <c r="C208" s="954">
        <v>1</v>
      </c>
      <c r="D208" s="985">
        <v>895</v>
      </c>
      <c r="E208" s="954">
        <v>104</v>
      </c>
      <c r="F208" s="923" t="s">
        <v>990</v>
      </c>
      <c r="G208" s="1001" t="s">
        <v>708</v>
      </c>
      <c r="H208" s="731">
        <v>2500</v>
      </c>
      <c r="I208" s="731"/>
      <c r="J208" s="731"/>
      <c r="K208" s="726">
        <v>2500</v>
      </c>
      <c r="L208" s="731">
        <v>2500</v>
      </c>
      <c r="M208" s="731">
        <v>2500</v>
      </c>
      <c r="N208" s="921"/>
      <c r="O208" s="921"/>
      <c r="P208" s="921">
        <v>2500</v>
      </c>
      <c r="Q208" s="921"/>
      <c r="R208" s="921"/>
      <c r="S208" s="731">
        <v>2500</v>
      </c>
      <c r="T208" s="780"/>
      <c r="U208" s="1020"/>
      <c r="V208" s="781">
        <f>H208+M208</f>
        <v>5000</v>
      </c>
      <c r="W208" s="957"/>
      <c r="X208" s="958"/>
      <c r="Z208" s="788">
        <f>IF(V208&gt;(H208+M208+N208),"ERRORE","")</f>
      </c>
      <c r="AA208" s="788">
        <f>IF(W208&gt;(H208+P208+Q208),"ERRORE","")</f>
      </c>
      <c r="AB208" s="788">
        <f>IF(X208&gt;(H208+S208+T208),"ERRORE","")</f>
      </c>
    </row>
    <row r="209" spans="1:28" s="773" customFormat="1" ht="27.75" customHeight="1">
      <c r="A209" s="953">
        <v>12</v>
      </c>
      <c r="B209" s="955">
        <v>5</v>
      </c>
      <c r="C209" s="954">
        <v>1</v>
      </c>
      <c r="D209" s="985">
        <v>896</v>
      </c>
      <c r="E209" s="954">
        <v>104</v>
      </c>
      <c r="F209" s="923" t="s">
        <v>125</v>
      </c>
      <c r="G209" s="956" t="s">
        <v>256</v>
      </c>
      <c r="H209" s="731">
        <v>5899.18</v>
      </c>
      <c r="I209" s="731"/>
      <c r="J209" s="731"/>
      <c r="K209" s="726">
        <v>25000</v>
      </c>
      <c r="L209" s="731">
        <v>3579.5</v>
      </c>
      <c r="M209" s="731">
        <f>ENTRATA!K36</f>
        <v>25000</v>
      </c>
      <c r="N209" s="731">
        <f>ENTRATA!L36</f>
        <v>0</v>
      </c>
      <c r="O209" s="731">
        <f>ENTRATA!M36</f>
        <v>0</v>
      </c>
      <c r="P209" s="731">
        <f>ENTRATA!N36</f>
        <v>25000</v>
      </c>
      <c r="Q209" s="731">
        <f>ENTRATA!O36</f>
        <v>0</v>
      </c>
      <c r="R209" s="731">
        <f>ENTRATA!P36</f>
        <v>0</v>
      </c>
      <c r="S209" s="731">
        <f>ENTRATA!Q36</f>
        <v>25000</v>
      </c>
      <c r="T209" s="780"/>
      <c r="U209" s="1017"/>
      <c r="V209" s="781">
        <f>H209+M209</f>
        <v>30899.18</v>
      </c>
      <c r="W209" s="957"/>
      <c r="X209" s="958"/>
      <c r="Z209" s="788">
        <f>IF(V209&gt;(H209+M209+N209),"ERRORE","")</f>
      </c>
      <c r="AA209" s="788">
        <f>IF(W209&gt;(H209+P209+Q209),"ERRORE","")</f>
      </c>
      <c r="AB209" s="788">
        <f>IF(X209&gt;(H209+S209+T209),"ERRORE","")</f>
      </c>
    </row>
    <row r="210" spans="1:28" s="773" customFormat="1" ht="27.75" customHeight="1">
      <c r="A210" s="1339" t="s">
        <v>343</v>
      </c>
      <c r="B210" s="1340"/>
      <c r="C210" s="1340"/>
      <c r="D210" s="1340"/>
      <c r="E210" s="1340"/>
      <c r="F210" s="1340"/>
      <c r="G210" s="1341"/>
      <c r="H210" s="732">
        <f>SUM(H206:H209)</f>
        <v>20439.25</v>
      </c>
      <c r="I210" s="732">
        <f>SUM(I209:I209)</f>
        <v>0</v>
      </c>
      <c r="J210" s="732">
        <f>SUM(J209:J209)</f>
        <v>0</v>
      </c>
      <c r="K210" s="732">
        <f>SUM(K206:K209)</f>
        <v>71500</v>
      </c>
      <c r="L210" s="732">
        <f>SUM(L206:L209)</f>
        <v>6079.5</v>
      </c>
      <c r="M210" s="732">
        <f>SUM(M206:M209)</f>
        <v>71500</v>
      </c>
      <c r="N210" s="732">
        <f>SUM(N206:N208)</f>
        <v>0</v>
      </c>
      <c r="O210" s="732">
        <f>SUM(O206:O208)</f>
        <v>0</v>
      </c>
      <c r="P210" s="732">
        <f>SUM(P206:P209)</f>
        <v>71500</v>
      </c>
      <c r="Q210" s="767">
        <f>SUM(Q209:Q209)</f>
        <v>0</v>
      </c>
      <c r="R210" s="767">
        <f>SUM(R209:R209)</f>
        <v>0</v>
      </c>
      <c r="S210" s="767">
        <f>SUM(S206:S209)</f>
        <v>71500</v>
      </c>
      <c r="T210" s="767">
        <f>SUM(T209:T209)</f>
        <v>0</v>
      </c>
      <c r="U210" s="767">
        <f>SUM(U209:U209)</f>
        <v>0</v>
      </c>
      <c r="V210" s="768">
        <f>SUM(V206:V209)</f>
        <v>91939.25</v>
      </c>
      <c r="W210" s="983">
        <f>SUM(W209:W209)</f>
        <v>0</v>
      </c>
      <c r="X210" s="984">
        <f>SUM(X209:X209)</f>
        <v>0</v>
      </c>
      <c r="Z210" s="788">
        <f t="shared" si="63"/>
      </c>
      <c r="AA210" s="788">
        <f t="shared" si="64"/>
      </c>
      <c r="AB210" s="788">
        <f t="shared" si="65"/>
      </c>
    </row>
    <row r="211" spans="1:28" s="773" customFormat="1" ht="27.75" customHeight="1">
      <c r="A211" s="953">
        <v>12</v>
      </c>
      <c r="B211" s="955">
        <v>6</v>
      </c>
      <c r="C211" s="954">
        <v>1</v>
      </c>
      <c r="D211" s="981">
        <v>770</v>
      </c>
      <c r="E211" s="954">
        <v>103</v>
      </c>
      <c r="F211" s="923" t="s">
        <v>103</v>
      </c>
      <c r="G211" s="956" t="s">
        <v>288</v>
      </c>
      <c r="H211" s="731">
        <v>0</v>
      </c>
      <c r="I211" s="731"/>
      <c r="J211" s="731"/>
      <c r="K211" s="731">
        <f>700+500</f>
        <v>1200</v>
      </c>
      <c r="L211" s="731"/>
      <c r="M211" s="731">
        <v>1200</v>
      </c>
      <c r="N211" s="921"/>
      <c r="O211" s="921"/>
      <c r="P211" s="921">
        <v>1200</v>
      </c>
      <c r="Q211" s="936"/>
      <c r="R211" s="921"/>
      <c r="S211" s="731">
        <v>1200</v>
      </c>
      <c r="T211" s="780"/>
      <c r="U211" s="1015"/>
      <c r="V211" s="794">
        <f>H211+M211</f>
        <v>1200</v>
      </c>
      <c r="W211" s="957"/>
      <c r="X211" s="958"/>
      <c r="Z211" s="788">
        <f t="shared" si="63"/>
      </c>
      <c r="AA211" s="788">
        <f t="shared" si="64"/>
      </c>
      <c r="AB211" s="788">
        <f t="shared" si="65"/>
      </c>
    </row>
    <row r="212" spans="1:28" s="773" customFormat="1" ht="27.75" customHeight="1" hidden="1">
      <c r="A212" s="953">
        <v>12</v>
      </c>
      <c r="B212" s="955">
        <v>6</v>
      </c>
      <c r="C212" s="954">
        <v>1</v>
      </c>
      <c r="D212" s="985"/>
      <c r="E212" s="954"/>
      <c r="F212" s="923"/>
      <c r="G212" s="956"/>
      <c r="H212" s="731"/>
      <c r="I212" s="731"/>
      <c r="J212" s="731"/>
      <c r="K212" s="731"/>
      <c r="L212" s="731"/>
      <c r="M212" s="731"/>
      <c r="N212" s="921"/>
      <c r="O212" s="921"/>
      <c r="P212" s="921"/>
      <c r="Q212" s="728"/>
      <c r="R212" s="921"/>
      <c r="S212" s="731"/>
      <c r="T212" s="728"/>
      <c r="U212" s="780"/>
      <c r="V212" s="781"/>
      <c r="W212" s="957"/>
      <c r="X212" s="958"/>
      <c r="Z212" s="788">
        <f t="shared" si="63"/>
      </c>
      <c r="AA212" s="788">
        <f t="shared" si="64"/>
      </c>
      <c r="AB212" s="788">
        <f t="shared" si="65"/>
      </c>
    </row>
    <row r="213" spans="1:28" s="773" customFormat="1" ht="27.75" customHeight="1" hidden="1">
      <c r="A213" s="953">
        <v>12</v>
      </c>
      <c r="B213" s="955">
        <v>6</v>
      </c>
      <c r="C213" s="954">
        <v>1</v>
      </c>
      <c r="D213" s="985"/>
      <c r="E213" s="954"/>
      <c r="F213" s="923"/>
      <c r="G213" s="956"/>
      <c r="H213" s="731"/>
      <c r="I213" s="731"/>
      <c r="J213" s="731"/>
      <c r="K213" s="731"/>
      <c r="L213" s="731"/>
      <c r="M213" s="731"/>
      <c r="N213" s="921"/>
      <c r="O213" s="921"/>
      <c r="P213" s="921"/>
      <c r="Q213" s="728"/>
      <c r="R213" s="921"/>
      <c r="S213" s="731"/>
      <c r="T213" s="731"/>
      <c r="U213" s="780"/>
      <c r="V213" s="781"/>
      <c r="W213" s="957"/>
      <c r="X213" s="958"/>
      <c r="Z213" s="788">
        <f t="shared" si="63"/>
      </c>
      <c r="AA213" s="788">
        <f t="shared" si="64"/>
      </c>
      <c r="AB213" s="788">
        <f t="shared" si="65"/>
      </c>
    </row>
    <row r="214" spans="1:28" s="773" customFormat="1" ht="27.75" customHeight="1" hidden="1">
      <c r="A214" s="953">
        <v>12</v>
      </c>
      <c r="B214" s="955">
        <v>6</v>
      </c>
      <c r="C214" s="954">
        <v>1</v>
      </c>
      <c r="D214" s="985"/>
      <c r="E214" s="954"/>
      <c r="F214" s="923"/>
      <c r="G214" s="956"/>
      <c r="H214" s="731"/>
      <c r="I214" s="731"/>
      <c r="J214" s="731"/>
      <c r="K214" s="731"/>
      <c r="L214" s="731"/>
      <c r="M214" s="731"/>
      <c r="N214" s="921"/>
      <c r="O214" s="921"/>
      <c r="P214" s="921"/>
      <c r="Q214" s="728"/>
      <c r="R214" s="921"/>
      <c r="S214" s="731"/>
      <c r="T214" s="731"/>
      <c r="U214" s="780"/>
      <c r="V214" s="781"/>
      <c r="W214" s="957"/>
      <c r="X214" s="958"/>
      <c r="Z214" s="788">
        <f t="shared" si="63"/>
      </c>
      <c r="AA214" s="788">
        <f t="shared" si="64"/>
      </c>
      <c r="AB214" s="788">
        <f t="shared" si="65"/>
      </c>
    </row>
    <row r="215" spans="1:28" s="773" customFormat="1" ht="27.75" customHeight="1" hidden="1">
      <c r="A215" s="953">
        <v>12</v>
      </c>
      <c r="B215" s="955">
        <v>6</v>
      </c>
      <c r="C215" s="954">
        <v>1</v>
      </c>
      <c r="D215" s="985"/>
      <c r="E215" s="954"/>
      <c r="F215" s="923"/>
      <c r="G215" s="956"/>
      <c r="H215" s="731"/>
      <c r="I215" s="731"/>
      <c r="J215" s="731"/>
      <c r="K215" s="731"/>
      <c r="L215" s="731"/>
      <c r="M215" s="731"/>
      <c r="N215" s="921"/>
      <c r="O215" s="921"/>
      <c r="P215" s="921"/>
      <c r="Q215" s="728"/>
      <c r="R215" s="921"/>
      <c r="S215" s="731"/>
      <c r="T215" s="731"/>
      <c r="U215" s="780"/>
      <c r="V215" s="781"/>
      <c r="W215" s="957"/>
      <c r="X215" s="958"/>
      <c r="Z215" s="788">
        <f t="shared" si="63"/>
      </c>
      <c r="AA215" s="788">
        <f t="shared" si="64"/>
      </c>
      <c r="AB215" s="788">
        <f t="shared" si="65"/>
      </c>
    </row>
    <row r="216" spans="1:28" s="773" customFormat="1" ht="27.75" customHeight="1" hidden="1">
      <c r="A216" s="953">
        <v>12</v>
      </c>
      <c r="B216" s="955">
        <v>6</v>
      </c>
      <c r="C216" s="954">
        <v>1</v>
      </c>
      <c r="D216" s="985"/>
      <c r="E216" s="954"/>
      <c r="F216" s="923"/>
      <c r="G216" s="956"/>
      <c r="H216" s="731"/>
      <c r="I216" s="731"/>
      <c r="J216" s="731"/>
      <c r="K216" s="731"/>
      <c r="L216" s="731"/>
      <c r="M216" s="731"/>
      <c r="N216" s="921"/>
      <c r="O216" s="921"/>
      <c r="P216" s="921"/>
      <c r="Q216" s="921"/>
      <c r="R216" s="921"/>
      <c r="S216" s="731"/>
      <c r="T216" s="933"/>
      <c r="U216" s="780"/>
      <c r="V216" s="781"/>
      <c r="W216" s="957"/>
      <c r="X216" s="958"/>
      <c r="Z216" s="788">
        <f t="shared" si="63"/>
      </c>
      <c r="AA216" s="788">
        <f t="shared" si="64"/>
      </c>
      <c r="AB216" s="788">
        <f t="shared" si="65"/>
      </c>
    </row>
    <row r="217" spans="1:28" s="773" customFormat="1" ht="27.75" customHeight="1">
      <c r="A217" s="1339" t="s">
        <v>344</v>
      </c>
      <c r="B217" s="1340"/>
      <c r="C217" s="1340"/>
      <c r="D217" s="1340"/>
      <c r="E217" s="1340"/>
      <c r="F217" s="1340"/>
      <c r="G217" s="1341"/>
      <c r="H217" s="732">
        <f>SUM(H211:H216)</f>
        <v>0</v>
      </c>
      <c r="I217" s="732">
        <f>SUM(I211:I216)</f>
        <v>0</v>
      </c>
      <c r="J217" s="732">
        <f>SUM(J211:J216)</f>
        <v>0</v>
      </c>
      <c r="K217" s="732">
        <f>SUM(K211:K216)</f>
        <v>1200</v>
      </c>
      <c r="L217" s="732">
        <f aca="true" t="shared" si="78" ref="L217:U217">SUM(L211:L216)</f>
        <v>0</v>
      </c>
      <c r="M217" s="732">
        <f t="shared" si="78"/>
        <v>1200</v>
      </c>
      <c r="N217" s="732">
        <f t="shared" si="78"/>
        <v>0</v>
      </c>
      <c r="O217" s="732">
        <f t="shared" si="78"/>
        <v>0</v>
      </c>
      <c r="P217" s="732">
        <f t="shared" si="78"/>
        <v>1200</v>
      </c>
      <c r="Q217" s="732">
        <f t="shared" si="78"/>
        <v>0</v>
      </c>
      <c r="R217" s="732">
        <f t="shared" si="78"/>
        <v>0</v>
      </c>
      <c r="S217" s="732">
        <f t="shared" si="78"/>
        <v>1200</v>
      </c>
      <c r="T217" s="732">
        <f t="shared" si="78"/>
        <v>0</v>
      </c>
      <c r="U217" s="767">
        <f t="shared" si="78"/>
        <v>0</v>
      </c>
      <c r="V217" s="768">
        <f>SUM(V211:V216)</f>
        <v>1200</v>
      </c>
      <c r="W217" s="1000">
        <f>SUM(W211:W216)</f>
        <v>0</v>
      </c>
      <c r="X217" s="984">
        <f>SUM(X211:X216)</f>
        <v>0</v>
      </c>
      <c r="Z217" s="788">
        <f t="shared" si="63"/>
      </c>
      <c r="AA217" s="788">
        <f t="shared" si="64"/>
      </c>
      <c r="AB217" s="788">
        <f t="shared" si="65"/>
      </c>
    </row>
    <row r="218" spans="1:28" s="773" customFormat="1" ht="27.75" customHeight="1">
      <c r="A218" s="960">
        <v>12</v>
      </c>
      <c r="B218" s="965">
        <v>7</v>
      </c>
      <c r="C218" s="961">
        <v>1</v>
      </c>
      <c r="D218" s="828">
        <v>863</v>
      </c>
      <c r="E218" s="961">
        <v>104</v>
      </c>
      <c r="F218" s="924" t="s">
        <v>114</v>
      </c>
      <c r="G218" s="959" t="s">
        <v>254</v>
      </c>
      <c r="H218" s="728">
        <v>45785.59</v>
      </c>
      <c r="I218" s="728"/>
      <c r="J218" s="728"/>
      <c r="K218" s="727">
        <v>105000</v>
      </c>
      <c r="L218" s="728"/>
      <c r="M218" s="728">
        <v>105000</v>
      </c>
      <c r="N218" s="774"/>
      <c r="O218" s="774"/>
      <c r="P218" s="774">
        <v>105000</v>
      </c>
      <c r="Q218" s="774"/>
      <c r="R218" s="774"/>
      <c r="S218" s="728">
        <v>105000</v>
      </c>
      <c r="T218" s="777"/>
      <c r="U218" s="1015"/>
      <c r="V218" s="797">
        <f>H218+M218</f>
        <v>150785.59</v>
      </c>
      <c r="W218" s="963"/>
      <c r="X218" s="1034"/>
      <c r="Z218" s="788">
        <f t="shared" si="63"/>
      </c>
      <c r="AA218" s="788">
        <f t="shared" si="64"/>
      </c>
      <c r="AB218" s="788">
        <f t="shared" si="65"/>
      </c>
    </row>
    <row r="219" spans="1:28" s="773" customFormat="1" ht="27.75" customHeight="1">
      <c r="A219" s="960">
        <v>12</v>
      </c>
      <c r="B219" s="965">
        <v>7</v>
      </c>
      <c r="C219" s="961">
        <v>1</v>
      </c>
      <c r="D219" s="828">
        <v>880</v>
      </c>
      <c r="E219" s="961">
        <v>104</v>
      </c>
      <c r="F219" s="924" t="s">
        <v>912</v>
      </c>
      <c r="G219" s="959" t="s">
        <v>289</v>
      </c>
      <c r="H219" s="728">
        <v>7321.63</v>
      </c>
      <c r="I219" s="728"/>
      <c r="J219" s="728"/>
      <c r="K219" s="727">
        <v>15000</v>
      </c>
      <c r="L219" s="728"/>
      <c r="M219" s="728">
        <v>15000</v>
      </c>
      <c r="N219" s="774"/>
      <c r="O219" s="774"/>
      <c r="P219" s="774">
        <v>15000</v>
      </c>
      <c r="Q219" s="774"/>
      <c r="R219" s="774"/>
      <c r="S219" s="728">
        <v>15000</v>
      </c>
      <c r="T219" s="777"/>
      <c r="U219" s="1020"/>
      <c r="V219" s="797">
        <f>H219+M219</f>
        <v>22321.63</v>
      </c>
      <c r="W219" s="963"/>
      <c r="X219" s="1034"/>
      <c r="Z219" s="788">
        <f t="shared" si="63"/>
      </c>
      <c r="AA219" s="788"/>
      <c r="AB219" s="788"/>
    </row>
    <row r="220" spans="1:28" s="773" customFormat="1" ht="27.75" customHeight="1">
      <c r="A220" s="960">
        <v>12</v>
      </c>
      <c r="B220" s="965">
        <v>7</v>
      </c>
      <c r="C220" s="961">
        <v>1</v>
      </c>
      <c r="D220" s="828">
        <v>882</v>
      </c>
      <c r="E220" s="961">
        <v>104</v>
      </c>
      <c r="F220" s="924" t="s">
        <v>100</v>
      </c>
      <c r="G220" s="966" t="s">
        <v>991</v>
      </c>
      <c r="H220" s="728">
        <v>3797.72</v>
      </c>
      <c r="I220" s="728"/>
      <c r="J220" s="728"/>
      <c r="K220" s="727">
        <v>54649.87</v>
      </c>
      <c r="L220" s="727"/>
      <c r="M220" s="728">
        <v>0</v>
      </c>
      <c r="N220" s="774"/>
      <c r="O220" s="774"/>
      <c r="P220" s="774">
        <v>0</v>
      </c>
      <c r="Q220" s="774"/>
      <c r="R220" s="774"/>
      <c r="S220" s="728">
        <v>0</v>
      </c>
      <c r="T220" s="777"/>
      <c r="U220" s="800"/>
      <c r="V220" s="797">
        <f>H220+M220</f>
        <v>3797.72</v>
      </c>
      <c r="W220" s="963"/>
      <c r="X220" s="1034"/>
      <c r="Z220" s="788">
        <f>IF(V220&gt;(H220+M220+N220),"ERRORE","")</f>
      </c>
      <c r="AA220" s="788">
        <f>IF(W220&gt;(H220+P220+Q220),"ERRORE","")</f>
      </c>
      <c r="AB220" s="788">
        <f>IF(X220&gt;(H220+S220+T220),"ERRORE","")</f>
      </c>
    </row>
    <row r="221" spans="1:28" s="773" customFormat="1" ht="27.75" customHeight="1">
      <c r="A221" s="960">
        <v>12</v>
      </c>
      <c r="B221" s="965">
        <v>7</v>
      </c>
      <c r="C221" s="961">
        <v>1</v>
      </c>
      <c r="D221" s="962">
        <v>883</v>
      </c>
      <c r="E221" s="961">
        <v>104</v>
      </c>
      <c r="F221" s="924" t="s">
        <v>100</v>
      </c>
      <c r="G221" s="966" t="s">
        <v>992</v>
      </c>
      <c r="H221" s="728">
        <v>0</v>
      </c>
      <c r="I221" s="728"/>
      <c r="J221" s="728"/>
      <c r="K221" s="727">
        <v>7808.51</v>
      </c>
      <c r="L221" s="728"/>
      <c r="M221" s="728">
        <v>0</v>
      </c>
      <c r="N221" s="774"/>
      <c r="O221" s="774"/>
      <c r="P221" s="774">
        <v>0</v>
      </c>
      <c r="Q221" s="774"/>
      <c r="R221" s="774"/>
      <c r="S221" s="728">
        <v>0</v>
      </c>
      <c r="T221" s="777"/>
      <c r="U221" s="800"/>
      <c r="V221" s="778">
        <f>H221+M221</f>
        <v>0</v>
      </c>
      <c r="W221" s="963"/>
      <c r="X221" s="1034"/>
      <c r="Z221" s="788">
        <f>IF(V221&gt;(H221+M221+N221),"ERRORE","")</f>
      </c>
      <c r="AA221" s="788">
        <f>IF(W221&gt;(H221+P221+Q221),"ERRORE","")</f>
      </c>
      <c r="AB221" s="788">
        <f>IF(X221&gt;(H221+S221+T221),"ERRORE","")</f>
      </c>
    </row>
    <row r="222" spans="1:28" s="773" customFormat="1" ht="27.75" customHeight="1">
      <c r="A222" s="960">
        <v>12</v>
      </c>
      <c r="B222" s="965">
        <v>7</v>
      </c>
      <c r="C222" s="961">
        <v>1</v>
      </c>
      <c r="D222" s="828">
        <v>884</v>
      </c>
      <c r="E222" s="961">
        <v>104</v>
      </c>
      <c r="F222" s="924" t="s">
        <v>100</v>
      </c>
      <c r="G222" s="966" t="s">
        <v>993</v>
      </c>
      <c r="H222" s="728">
        <v>0</v>
      </c>
      <c r="I222" s="728"/>
      <c r="J222" s="728"/>
      <c r="K222" s="727">
        <v>6245.47</v>
      </c>
      <c r="L222" s="727"/>
      <c r="M222" s="728">
        <v>0</v>
      </c>
      <c r="N222" s="774"/>
      <c r="O222" s="774"/>
      <c r="P222" s="774">
        <v>0</v>
      </c>
      <c r="Q222" s="774"/>
      <c r="R222" s="774"/>
      <c r="S222" s="728">
        <v>0</v>
      </c>
      <c r="T222" s="777"/>
      <c r="U222" s="800"/>
      <c r="V222" s="778">
        <f>H222+M222</f>
        <v>0</v>
      </c>
      <c r="W222" s="963"/>
      <c r="X222" s="1034"/>
      <c r="Z222" s="788">
        <f>IF(V222&gt;(H222+M222+N222),"ERRORE","")</f>
      </c>
      <c r="AA222" s="788">
        <f>IF(W222&gt;(H222+P222+Q222),"ERRORE","")</f>
      </c>
      <c r="AB222" s="788">
        <f>IF(X222&gt;(H222+S222+T222),"ERRORE","")</f>
      </c>
    </row>
    <row r="223" spans="1:28" s="853" customFormat="1" ht="36.75" customHeight="1">
      <c r="A223" s="1339" t="s">
        <v>346</v>
      </c>
      <c r="B223" s="1340"/>
      <c r="C223" s="1340"/>
      <c r="D223" s="1340"/>
      <c r="E223" s="1340"/>
      <c r="F223" s="1340"/>
      <c r="G223" s="1341"/>
      <c r="H223" s="732">
        <f aca="true" t="shared" si="79" ref="H223:X223">SUM(H218:H222)</f>
        <v>56904.939999999995</v>
      </c>
      <c r="I223" s="732">
        <f t="shared" si="79"/>
        <v>0</v>
      </c>
      <c r="J223" s="732">
        <f t="shared" si="79"/>
        <v>0</v>
      </c>
      <c r="K223" s="730">
        <f t="shared" si="79"/>
        <v>188703.85</v>
      </c>
      <c r="L223" s="730">
        <f t="shared" si="79"/>
        <v>0</v>
      </c>
      <c r="M223" s="730">
        <f t="shared" si="79"/>
        <v>120000</v>
      </c>
      <c r="N223" s="730">
        <f t="shared" si="79"/>
        <v>0</v>
      </c>
      <c r="O223" s="730">
        <f t="shared" si="79"/>
        <v>0</v>
      </c>
      <c r="P223" s="730">
        <f t="shared" si="79"/>
        <v>120000</v>
      </c>
      <c r="Q223" s="975">
        <f t="shared" si="79"/>
        <v>0</v>
      </c>
      <c r="R223" s="975">
        <f t="shared" si="79"/>
        <v>0</v>
      </c>
      <c r="S223" s="975">
        <f t="shared" si="79"/>
        <v>120000</v>
      </c>
      <c r="T223" s="975">
        <f t="shared" si="79"/>
        <v>0</v>
      </c>
      <c r="U223" s="975">
        <f t="shared" si="79"/>
        <v>0</v>
      </c>
      <c r="V223" s="833">
        <f t="shared" si="79"/>
        <v>176904.94</v>
      </c>
      <c r="W223" s="986">
        <f t="shared" si="79"/>
        <v>0</v>
      </c>
      <c r="X223" s="977">
        <f t="shared" si="79"/>
        <v>0</v>
      </c>
      <c r="Z223" s="788">
        <f t="shared" si="63"/>
      </c>
      <c r="AA223" s="788">
        <f t="shared" si="64"/>
      </c>
      <c r="AB223" s="788">
        <f t="shared" si="65"/>
      </c>
    </row>
    <row r="224" spans="1:28" s="773" customFormat="1" ht="27.75" customHeight="1">
      <c r="A224" s="960">
        <v>12</v>
      </c>
      <c r="B224" s="965">
        <v>9</v>
      </c>
      <c r="C224" s="961">
        <v>1</v>
      </c>
      <c r="D224" s="828">
        <v>900</v>
      </c>
      <c r="E224" s="961">
        <v>103</v>
      </c>
      <c r="F224" s="924" t="s">
        <v>107</v>
      </c>
      <c r="G224" s="959" t="s">
        <v>442</v>
      </c>
      <c r="H224" s="728">
        <v>2183.48</v>
      </c>
      <c r="I224" s="728"/>
      <c r="J224" s="728"/>
      <c r="K224" s="727">
        <f>2000+1000</f>
        <v>3000</v>
      </c>
      <c r="L224" s="728"/>
      <c r="M224" s="728">
        <v>2000</v>
      </c>
      <c r="N224" s="774"/>
      <c r="O224" s="774"/>
      <c r="P224" s="774">
        <v>2000</v>
      </c>
      <c r="Q224" s="774"/>
      <c r="R224" s="774"/>
      <c r="S224" s="728">
        <v>2000</v>
      </c>
      <c r="T224" s="777"/>
      <c r="U224" s="1015"/>
      <c r="V224" s="797">
        <f>H224+M224</f>
        <v>4183.48</v>
      </c>
      <c r="W224" s="963"/>
      <c r="X224" s="964"/>
      <c r="Z224" s="788">
        <f t="shared" si="63"/>
      </c>
      <c r="AA224" s="788">
        <f t="shared" si="64"/>
      </c>
      <c r="AB224" s="788">
        <f t="shared" si="65"/>
      </c>
    </row>
    <row r="225" spans="1:28" s="773" customFormat="1" ht="27.75" customHeight="1">
      <c r="A225" s="960">
        <v>12</v>
      </c>
      <c r="B225" s="965">
        <v>9</v>
      </c>
      <c r="C225" s="961">
        <v>1</v>
      </c>
      <c r="D225" s="962">
        <v>906</v>
      </c>
      <c r="E225" s="961">
        <v>103</v>
      </c>
      <c r="F225" s="924" t="s">
        <v>107</v>
      </c>
      <c r="G225" s="959" t="s">
        <v>167</v>
      </c>
      <c r="H225" s="728">
        <v>3183.52</v>
      </c>
      <c r="I225" s="728"/>
      <c r="J225" s="728"/>
      <c r="K225" s="727">
        <v>9000</v>
      </c>
      <c r="L225" s="728">
        <v>4784.27</v>
      </c>
      <c r="M225" s="728">
        <v>9000</v>
      </c>
      <c r="N225" s="774"/>
      <c r="O225" s="774"/>
      <c r="P225" s="774">
        <v>9000</v>
      </c>
      <c r="Q225" s="774"/>
      <c r="R225" s="774"/>
      <c r="S225" s="728">
        <v>9000</v>
      </c>
      <c r="T225" s="777"/>
      <c r="U225" s="958"/>
      <c r="V225" s="778">
        <f>H225+M225</f>
        <v>12183.52</v>
      </c>
      <c r="W225" s="963"/>
      <c r="X225" s="964"/>
      <c r="Z225" s="788">
        <f>IF(V225&gt;(H225+M225+N225),"ERRORE","")</f>
      </c>
      <c r="AA225" s="788">
        <f>IF(W225&gt;(H225+P225+Q225),"ERRORE","")</f>
      </c>
      <c r="AB225" s="788">
        <f>IF(X225&gt;(H225+S225+T225),"ERRORE","")</f>
      </c>
    </row>
    <row r="226" spans="1:28" s="773" customFormat="1" ht="27.75" customHeight="1">
      <c r="A226" s="960">
        <v>12</v>
      </c>
      <c r="B226" s="965">
        <v>9</v>
      </c>
      <c r="C226" s="961">
        <v>1</v>
      </c>
      <c r="D226" s="828">
        <v>907</v>
      </c>
      <c r="E226" s="961">
        <v>103</v>
      </c>
      <c r="F226" s="924" t="s">
        <v>107</v>
      </c>
      <c r="G226" s="966" t="s">
        <v>913</v>
      </c>
      <c r="H226" s="728">
        <v>1000</v>
      </c>
      <c r="I226" s="728"/>
      <c r="J226" s="728"/>
      <c r="K226" s="727">
        <v>1000</v>
      </c>
      <c r="L226" s="728"/>
      <c r="M226" s="728">
        <v>1000</v>
      </c>
      <c r="N226" s="774"/>
      <c r="O226" s="774"/>
      <c r="P226" s="774">
        <v>1000</v>
      </c>
      <c r="Q226" s="774"/>
      <c r="R226" s="774"/>
      <c r="S226" s="728">
        <v>1000</v>
      </c>
      <c r="T226" s="777"/>
      <c r="U226" s="958"/>
      <c r="V226" s="797">
        <f>H226+M226</f>
        <v>2000</v>
      </c>
      <c r="W226" s="963"/>
      <c r="X226" s="964"/>
      <c r="Z226" s="788">
        <f>IF(V226&gt;(H226+M226+N226),"ERRORE","")</f>
      </c>
      <c r="AA226" s="788">
        <f>IF(W226&gt;(H226+P226+Q226),"ERRORE","")</f>
      </c>
      <c r="AB226" s="788">
        <f>IF(X226&gt;(H226+S226+T226),"ERRORE","")</f>
      </c>
    </row>
    <row r="227" spans="1:28" s="773" customFormat="1" ht="27.75" customHeight="1">
      <c r="A227" s="782">
        <v>12</v>
      </c>
      <c r="B227" s="967">
        <v>9</v>
      </c>
      <c r="C227" s="783">
        <v>1</v>
      </c>
      <c r="D227" s="971">
        <v>910</v>
      </c>
      <c r="E227" s="783">
        <v>107</v>
      </c>
      <c r="F227" s="784" t="s">
        <v>124</v>
      </c>
      <c r="G227" s="980" t="s">
        <v>340</v>
      </c>
      <c r="H227" s="729">
        <v>1576.52</v>
      </c>
      <c r="I227" s="729"/>
      <c r="J227" s="729"/>
      <c r="K227" s="739">
        <v>4401</v>
      </c>
      <c r="L227" s="729"/>
      <c r="M227" s="729">
        <v>3170</v>
      </c>
      <c r="N227" s="775"/>
      <c r="O227" s="775"/>
      <c r="P227" s="775">
        <v>2511</v>
      </c>
      <c r="Q227" s="798"/>
      <c r="R227" s="775"/>
      <c r="S227" s="729">
        <v>2179</v>
      </c>
      <c r="T227" s="799"/>
      <c r="U227" s="800"/>
      <c r="V227" s="778">
        <f>H227+M227</f>
        <v>4746.52</v>
      </c>
      <c r="W227" s="1033"/>
      <c r="X227" s="800"/>
      <c r="Z227" s="788">
        <f t="shared" si="63"/>
      </c>
      <c r="AA227" s="788">
        <f t="shared" si="64"/>
      </c>
      <c r="AB227" s="788">
        <f t="shared" si="65"/>
      </c>
    </row>
    <row r="228" spans="1:28" s="853" customFormat="1" ht="30.75" customHeight="1" thickBot="1">
      <c r="A228" s="1331" t="s">
        <v>347</v>
      </c>
      <c r="B228" s="1332"/>
      <c r="C228" s="1332"/>
      <c r="D228" s="1332"/>
      <c r="E228" s="1332"/>
      <c r="F228" s="1332"/>
      <c r="G228" s="1333"/>
      <c r="H228" s="732">
        <f aca="true" t="shared" si="80" ref="H228:X228">SUM(H224:H227)</f>
        <v>7943.52</v>
      </c>
      <c r="I228" s="732">
        <f t="shared" si="80"/>
        <v>0</v>
      </c>
      <c r="J228" s="732">
        <f t="shared" si="80"/>
        <v>0</v>
      </c>
      <c r="K228" s="730">
        <f t="shared" si="80"/>
        <v>17401</v>
      </c>
      <c r="L228" s="730">
        <f t="shared" si="80"/>
        <v>4784.27</v>
      </c>
      <c r="M228" s="730">
        <f t="shared" si="80"/>
        <v>15170</v>
      </c>
      <c r="N228" s="730">
        <f t="shared" si="80"/>
        <v>0</v>
      </c>
      <c r="O228" s="730">
        <f t="shared" si="80"/>
        <v>0</v>
      </c>
      <c r="P228" s="730">
        <f t="shared" si="80"/>
        <v>14511</v>
      </c>
      <c r="Q228" s="975">
        <f t="shared" si="80"/>
        <v>0</v>
      </c>
      <c r="R228" s="975">
        <f t="shared" si="80"/>
        <v>0</v>
      </c>
      <c r="S228" s="975">
        <f t="shared" si="80"/>
        <v>14179</v>
      </c>
      <c r="T228" s="975">
        <f t="shared" si="80"/>
        <v>0</v>
      </c>
      <c r="U228" s="975">
        <f t="shared" si="80"/>
        <v>0</v>
      </c>
      <c r="V228" s="833">
        <f t="shared" si="80"/>
        <v>23113.52</v>
      </c>
      <c r="W228" s="986">
        <f t="shared" si="80"/>
        <v>0</v>
      </c>
      <c r="X228" s="977">
        <f t="shared" si="80"/>
        <v>0</v>
      </c>
      <c r="Z228" s="788">
        <f t="shared" si="63"/>
      </c>
      <c r="AA228" s="788">
        <f t="shared" si="64"/>
      </c>
      <c r="AB228" s="788">
        <f t="shared" si="65"/>
      </c>
    </row>
    <row r="229" spans="1:32" s="853" customFormat="1" ht="21" customHeight="1" thickBot="1">
      <c r="A229" s="1336" t="s">
        <v>70</v>
      </c>
      <c r="B229" s="1337"/>
      <c r="C229" s="1337"/>
      <c r="D229" s="1337"/>
      <c r="E229" s="1337"/>
      <c r="F229" s="1337"/>
      <c r="G229" s="1338"/>
      <c r="H229" s="738">
        <f aca="true" t="shared" si="81" ref="H229:X229">H197+H202+H205+H210+H217+H223+H228</f>
        <v>106639.84999999999</v>
      </c>
      <c r="I229" s="738">
        <f t="shared" si="81"/>
        <v>0</v>
      </c>
      <c r="J229" s="738">
        <f t="shared" si="81"/>
        <v>0</v>
      </c>
      <c r="K229" s="738">
        <f t="shared" si="81"/>
        <v>472612.56999999995</v>
      </c>
      <c r="L229" s="738">
        <f t="shared" si="81"/>
        <v>10863.77</v>
      </c>
      <c r="M229" s="738">
        <f t="shared" si="81"/>
        <v>381870</v>
      </c>
      <c r="N229" s="738">
        <f t="shared" si="81"/>
        <v>0</v>
      </c>
      <c r="O229" s="738">
        <f t="shared" si="81"/>
        <v>0</v>
      </c>
      <c r="P229" s="738">
        <f t="shared" si="81"/>
        <v>381211</v>
      </c>
      <c r="Q229" s="738">
        <f t="shared" si="81"/>
        <v>0</v>
      </c>
      <c r="R229" s="738">
        <f t="shared" si="81"/>
        <v>0</v>
      </c>
      <c r="S229" s="738">
        <f t="shared" si="81"/>
        <v>380879</v>
      </c>
      <c r="T229" s="738">
        <f t="shared" si="81"/>
        <v>0</v>
      </c>
      <c r="U229" s="738">
        <f t="shared" si="81"/>
        <v>0</v>
      </c>
      <c r="V229" s="738">
        <f t="shared" si="81"/>
        <v>488509.85000000003</v>
      </c>
      <c r="W229" s="1016">
        <f t="shared" si="81"/>
        <v>0</v>
      </c>
      <c r="X229" s="738">
        <f t="shared" si="81"/>
        <v>0</v>
      </c>
      <c r="Z229" s="788">
        <f t="shared" si="63"/>
      </c>
      <c r="AA229" s="788">
        <f t="shared" si="64"/>
      </c>
      <c r="AB229" s="788">
        <f t="shared" si="65"/>
      </c>
      <c r="AD229" s="854"/>
      <c r="AF229" s="854"/>
    </row>
    <row r="230" spans="1:28" s="853" customFormat="1" ht="21" customHeight="1" thickBot="1">
      <c r="A230" s="1336" t="s">
        <v>348</v>
      </c>
      <c r="B230" s="1337"/>
      <c r="C230" s="1337"/>
      <c r="D230" s="1337"/>
      <c r="E230" s="1337"/>
      <c r="F230" s="1337"/>
      <c r="G230" s="1338"/>
      <c r="H230" s="1342"/>
      <c r="I230" s="1343"/>
      <c r="J230" s="1343"/>
      <c r="K230" s="1343"/>
      <c r="L230" s="1343"/>
      <c r="M230" s="1343"/>
      <c r="N230" s="1343"/>
      <c r="O230" s="1343"/>
      <c r="P230" s="1343"/>
      <c r="Q230" s="1343"/>
      <c r="R230" s="1343"/>
      <c r="S230" s="1343"/>
      <c r="T230" s="1343"/>
      <c r="U230" s="1343"/>
      <c r="V230" s="1343"/>
      <c r="W230" s="1343"/>
      <c r="X230" s="1344"/>
      <c r="Z230" s="788">
        <f>IF(V230&gt;(H230+M230+N230),"ERRORE","")</f>
      </c>
      <c r="AA230" s="788">
        <f>IF(W230&gt;(H230+P230+Q230),"ERRORE","")</f>
      </c>
      <c r="AB230" s="788">
        <f>IF(X230&gt;(H230+S230+T230),"ERRORE","")</f>
      </c>
    </row>
    <row r="231" spans="1:28" s="773" customFormat="1" ht="27.75" customHeight="1" hidden="1">
      <c r="A231" s="1023">
        <v>14</v>
      </c>
      <c r="B231" s="1035">
        <v>4</v>
      </c>
      <c r="C231" s="954">
        <v>1</v>
      </c>
      <c r="D231" s="985">
        <v>940</v>
      </c>
      <c r="E231" s="954">
        <v>104</v>
      </c>
      <c r="F231" s="923"/>
      <c r="G231" s="1001" t="s">
        <v>296</v>
      </c>
      <c r="H231" s="731"/>
      <c r="I231" s="731"/>
      <c r="J231" s="731"/>
      <c r="K231" s="731"/>
      <c r="L231" s="731"/>
      <c r="M231" s="731"/>
      <c r="N231" s="921"/>
      <c r="O231" s="921"/>
      <c r="P231" s="921"/>
      <c r="Q231" s="779"/>
      <c r="R231" s="921"/>
      <c r="S231" s="731"/>
      <c r="T231" s="780"/>
      <c r="U231" s="1022"/>
      <c r="V231" s="832"/>
      <c r="W231" s="1032"/>
      <c r="X231" s="1015"/>
      <c r="Z231" s="788">
        <f t="shared" si="63"/>
      </c>
      <c r="AA231" s="788">
        <f t="shared" si="64"/>
      </c>
      <c r="AB231" s="788">
        <f t="shared" si="65"/>
      </c>
    </row>
    <row r="232" spans="1:28" s="853" customFormat="1" ht="28.5" customHeight="1" thickBot="1">
      <c r="A232" s="1339" t="s">
        <v>350</v>
      </c>
      <c r="B232" s="1340"/>
      <c r="C232" s="1340"/>
      <c r="D232" s="1340"/>
      <c r="E232" s="1340"/>
      <c r="F232" s="1340"/>
      <c r="G232" s="1341"/>
      <c r="H232" s="730">
        <f aca="true" t="shared" si="82" ref="H232:X232">SUM(H231:H231)</f>
        <v>0</v>
      </c>
      <c r="I232" s="730">
        <f t="shared" si="82"/>
        <v>0</v>
      </c>
      <c r="J232" s="730">
        <f t="shared" si="82"/>
        <v>0</v>
      </c>
      <c r="K232" s="730">
        <f t="shared" si="82"/>
        <v>0</v>
      </c>
      <c r="L232" s="730">
        <f t="shared" si="82"/>
        <v>0</v>
      </c>
      <c r="M232" s="730">
        <f t="shared" si="82"/>
        <v>0</v>
      </c>
      <c r="N232" s="730">
        <f t="shared" si="82"/>
        <v>0</v>
      </c>
      <c r="O232" s="730">
        <f t="shared" si="82"/>
        <v>0</v>
      </c>
      <c r="P232" s="730">
        <f t="shared" si="82"/>
        <v>0</v>
      </c>
      <c r="Q232" s="730">
        <f t="shared" si="82"/>
        <v>0</v>
      </c>
      <c r="R232" s="730">
        <f t="shared" si="82"/>
        <v>0</v>
      </c>
      <c r="S232" s="730">
        <f t="shared" si="82"/>
        <v>0</v>
      </c>
      <c r="T232" s="730">
        <f t="shared" si="82"/>
        <v>0</v>
      </c>
      <c r="U232" s="975">
        <f t="shared" si="82"/>
        <v>0</v>
      </c>
      <c r="V232" s="837">
        <f t="shared" si="82"/>
        <v>0</v>
      </c>
      <c r="W232" s="976">
        <f t="shared" si="82"/>
        <v>0</v>
      </c>
      <c r="X232" s="977">
        <f t="shared" si="82"/>
        <v>0</v>
      </c>
      <c r="Z232" s="788">
        <f t="shared" si="63"/>
      </c>
      <c r="AA232" s="788">
        <f t="shared" si="64"/>
      </c>
      <c r="AB232" s="788">
        <f t="shared" si="65"/>
      </c>
    </row>
    <row r="233" spans="1:30" s="853" customFormat="1" ht="21" customHeight="1" thickBot="1">
      <c r="A233" s="1336" t="s">
        <v>349</v>
      </c>
      <c r="B233" s="1337"/>
      <c r="C233" s="1337"/>
      <c r="D233" s="1337"/>
      <c r="E233" s="1337"/>
      <c r="F233" s="1337"/>
      <c r="G233" s="1338"/>
      <c r="H233" s="738">
        <f>H232</f>
        <v>0</v>
      </c>
      <c r="I233" s="738">
        <f aca="true" t="shared" si="83" ref="I233:O233">I232</f>
        <v>0</v>
      </c>
      <c r="J233" s="738">
        <f t="shared" si="83"/>
        <v>0</v>
      </c>
      <c r="K233" s="738">
        <f t="shared" si="83"/>
        <v>0</v>
      </c>
      <c r="L233" s="738">
        <f t="shared" si="83"/>
        <v>0</v>
      </c>
      <c r="M233" s="738">
        <f t="shared" si="83"/>
        <v>0</v>
      </c>
      <c r="N233" s="738">
        <f t="shared" si="83"/>
        <v>0</v>
      </c>
      <c r="O233" s="738">
        <f t="shared" si="83"/>
        <v>0</v>
      </c>
      <c r="P233" s="738">
        <f aca="true" t="shared" si="84" ref="P233:X233">P232</f>
        <v>0</v>
      </c>
      <c r="Q233" s="738">
        <f t="shared" si="84"/>
        <v>0</v>
      </c>
      <c r="R233" s="738">
        <f t="shared" si="84"/>
        <v>0</v>
      </c>
      <c r="S233" s="738">
        <f t="shared" si="84"/>
        <v>0</v>
      </c>
      <c r="T233" s="738">
        <f t="shared" si="84"/>
        <v>0</v>
      </c>
      <c r="U233" s="738">
        <f t="shared" si="84"/>
        <v>0</v>
      </c>
      <c r="V233" s="738">
        <f t="shared" si="84"/>
        <v>0</v>
      </c>
      <c r="W233" s="738">
        <f t="shared" si="84"/>
        <v>0</v>
      </c>
      <c r="X233" s="738">
        <f t="shared" si="84"/>
        <v>0</v>
      </c>
      <c r="Z233" s="788">
        <f>IF(V233&gt;(H233+M233+N233),"ERRORE","")</f>
      </c>
      <c r="AA233" s="788">
        <f>IF(W233&gt;(H233+P233+Q233),"ERRORE","")</f>
      </c>
      <c r="AB233" s="788">
        <f>IF(X233&gt;(H233+S233+T233),"ERRORE","")</f>
      </c>
      <c r="AD233" s="854"/>
    </row>
    <row r="234" spans="1:28" s="853" customFormat="1" ht="23.25" customHeight="1" thickBot="1">
      <c r="A234" s="1336" t="s">
        <v>351</v>
      </c>
      <c r="B234" s="1337"/>
      <c r="C234" s="1337"/>
      <c r="D234" s="1337"/>
      <c r="E234" s="1337"/>
      <c r="F234" s="1337"/>
      <c r="G234" s="1338"/>
      <c r="H234" s="1393"/>
      <c r="I234" s="1394"/>
      <c r="J234" s="1394"/>
      <c r="K234" s="1394"/>
      <c r="L234" s="1394"/>
      <c r="M234" s="1394"/>
      <c r="N234" s="1394"/>
      <c r="O234" s="1394"/>
      <c r="P234" s="1394"/>
      <c r="Q234" s="1394"/>
      <c r="R234" s="1394"/>
      <c r="S234" s="1394"/>
      <c r="T234" s="1394"/>
      <c r="U234" s="1394"/>
      <c r="V234" s="1394"/>
      <c r="W234" s="1394"/>
      <c r="X234" s="1395"/>
      <c r="Z234" s="788"/>
      <c r="AA234" s="788"/>
      <c r="AB234" s="788"/>
    </row>
    <row r="235" spans="1:28" s="773" customFormat="1" ht="27.75" customHeight="1">
      <c r="A235" s="953">
        <v>15</v>
      </c>
      <c r="B235" s="965">
        <v>1</v>
      </c>
      <c r="C235" s="961">
        <v>1</v>
      </c>
      <c r="D235" s="962">
        <v>945</v>
      </c>
      <c r="E235" s="961">
        <v>104</v>
      </c>
      <c r="F235" s="924" t="s">
        <v>114</v>
      </c>
      <c r="G235" s="959" t="s">
        <v>308</v>
      </c>
      <c r="H235" s="731">
        <v>3284.25</v>
      </c>
      <c r="I235" s="731"/>
      <c r="J235" s="731"/>
      <c r="K235" s="731">
        <v>2000</v>
      </c>
      <c r="L235" s="731"/>
      <c r="M235" s="731">
        <v>2000</v>
      </c>
      <c r="N235" s="921"/>
      <c r="O235" s="921"/>
      <c r="P235" s="921">
        <v>2000</v>
      </c>
      <c r="Q235" s="921"/>
      <c r="R235" s="921"/>
      <c r="S235" s="731">
        <v>2000</v>
      </c>
      <c r="T235" s="780"/>
      <c r="U235" s="1020"/>
      <c r="V235" s="832">
        <f>H235+M235</f>
        <v>5284.25</v>
      </c>
      <c r="W235" s="957"/>
      <c r="X235" s="958"/>
      <c r="Y235" s="935"/>
      <c r="Z235" s="788">
        <f t="shared" si="63"/>
      </c>
      <c r="AA235" s="788">
        <f t="shared" si="64"/>
      </c>
      <c r="AB235" s="788">
        <f t="shared" si="65"/>
      </c>
    </row>
    <row r="236" spans="1:28" s="773" customFormat="1" ht="27.75" customHeight="1" hidden="1">
      <c r="A236" s="953">
        <v>15</v>
      </c>
      <c r="B236" s="965">
        <v>1</v>
      </c>
      <c r="C236" s="961">
        <v>1</v>
      </c>
      <c r="D236" s="962"/>
      <c r="E236" s="961"/>
      <c r="F236" s="924"/>
      <c r="G236" s="959"/>
      <c r="H236" s="731"/>
      <c r="I236" s="731"/>
      <c r="J236" s="731"/>
      <c r="K236" s="731"/>
      <c r="L236" s="731"/>
      <c r="M236" s="731"/>
      <c r="N236" s="921"/>
      <c r="O236" s="921"/>
      <c r="P236" s="921"/>
      <c r="Q236" s="921"/>
      <c r="R236" s="921"/>
      <c r="S236" s="731"/>
      <c r="T236" s="780"/>
      <c r="U236" s="964"/>
      <c r="V236" s="781"/>
      <c r="W236" s="957"/>
      <c r="X236" s="958"/>
      <c r="Y236" s="935"/>
      <c r="Z236" s="788">
        <f>IF(V236&gt;(H236+M236+N236),"ERRORE","")</f>
      </c>
      <c r="AA236" s="788">
        <f>IF(W236&gt;(H236+P236+Q236),"ERRORE","")</f>
      </c>
      <c r="AB236" s="788">
        <f>IF(X236&gt;(H236+S236+T236),"ERRORE","")</f>
      </c>
    </row>
    <row r="237" spans="1:28" s="773" customFormat="1" ht="27.75" customHeight="1" hidden="1">
      <c r="A237" s="953">
        <v>15</v>
      </c>
      <c r="B237" s="965">
        <v>1</v>
      </c>
      <c r="C237" s="961">
        <v>1</v>
      </c>
      <c r="D237" s="962"/>
      <c r="E237" s="961"/>
      <c r="F237" s="924"/>
      <c r="G237" s="959"/>
      <c r="H237" s="731"/>
      <c r="I237" s="731"/>
      <c r="J237" s="731"/>
      <c r="K237" s="731"/>
      <c r="L237" s="731"/>
      <c r="M237" s="731"/>
      <c r="N237" s="921"/>
      <c r="O237" s="921"/>
      <c r="P237" s="921"/>
      <c r="Q237" s="921"/>
      <c r="R237" s="921"/>
      <c r="S237" s="731"/>
      <c r="T237" s="780"/>
      <c r="U237" s="1018"/>
      <c r="V237" s="781"/>
      <c r="W237" s="957"/>
      <c r="X237" s="958"/>
      <c r="Y237" s="935"/>
      <c r="Z237" s="788">
        <f>IF(V237&gt;(H237+M237+N237),"ERRORE","")</f>
      </c>
      <c r="AA237" s="788">
        <f>IF(W237&gt;(H237+P237+Q237),"ERRORE","")</f>
      </c>
      <c r="AB237" s="788">
        <f>IF(X237&gt;(H237+S237+T237),"ERRORE","")</f>
      </c>
    </row>
    <row r="238" spans="1:28" s="853" customFormat="1" ht="35.25" customHeight="1" thickBot="1">
      <c r="A238" s="1331" t="s">
        <v>353</v>
      </c>
      <c r="B238" s="1332"/>
      <c r="C238" s="1332"/>
      <c r="D238" s="1332"/>
      <c r="E238" s="1332"/>
      <c r="F238" s="1332"/>
      <c r="G238" s="1333"/>
      <c r="H238" s="1049">
        <f aca="true" t="shared" si="85" ref="H238:X238">SUM(H235:H235)</f>
        <v>3284.25</v>
      </c>
      <c r="I238" s="1049">
        <f t="shared" si="85"/>
        <v>0</v>
      </c>
      <c r="J238" s="1049">
        <f t="shared" si="85"/>
        <v>0</v>
      </c>
      <c r="K238" s="1049">
        <f t="shared" si="85"/>
        <v>2000</v>
      </c>
      <c r="L238" s="1049">
        <f t="shared" si="85"/>
        <v>0</v>
      </c>
      <c r="M238" s="1049">
        <f t="shared" si="85"/>
        <v>2000</v>
      </c>
      <c r="N238" s="1049">
        <f t="shared" si="85"/>
        <v>0</v>
      </c>
      <c r="O238" s="1049">
        <f t="shared" si="85"/>
        <v>0</v>
      </c>
      <c r="P238" s="1049">
        <f t="shared" si="85"/>
        <v>2000</v>
      </c>
      <c r="Q238" s="1049">
        <f t="shared" si="85"/>
        <v>0</v>
      </c>
      <c r="R238" s="1049">
        <f t="shared" si="85"/>
        <v>0</v>
      </c>
      <c r="S238" s="1049">
        <f t="shared" si="85"/>
        <v>2000</v>
      </c>
      <c r="T238" s="732">
        <f t="shared" si="85"/>
        <v>0</v>
      </c>
      <c r="U238" s="767">
        <f t="shared" si="85"/>
        <v>0</v>
      </c>
      <c r="V238" s="842">
        <f t="shared" si="85"/>
        <v>5284.25</v>
      </c>
      <c r="W238" s="1051">
        <f t="shared" si="85"/>
        <v>0</v>
      </c>
      <c r="X238" s="1052">
        <f t="shared" si="85"/>
        <v>0</v>
      </c>
      <c r="Z238" s="788">
        <f t="shared" si="63"/>
      </c>
      <c r="AA238" s="788">
        <f t="shared" si="64"/>
      </c>
      <c r="AB238" s="788">
        <f t="shared" si="65"/>
      </c>
    </row>
    <row r="239" spans="1:28" s="773" customFormat="1" ht="27.75" customHeight="1">
      <c r="A239" s="953">
        <v>15</v>
      </c>
      <c r="B239" s="955">
        <v>3</v>
      </c>
      <c r="C239" s="954">
        <v>1</v>
      </c>
      <c r="D239" s="981">
        <v>881</v>
      </c>
      <c r="E239" s="954">
        <v>104</v>
      </c>
      <c r="F239" s="923" t="s">
        <v>990</v>
      </c>
      <c r="G239" s="1001" t="s">
        <v>706</v>
      </c>
      <c r="H239" s="731">
        <v>120</v>
      </c>
      <c r="I239" s="731"/>
      <c r="J239" s="731"/>
      <c r="K239" s="731">
        <v>6150</v>
      </c>
      <c r="L239" s="731"/>
      <c r="M239" s="731">
        <v>0</v>
      </c>
      <c r="N239" s="921"/>
      <c r="O239" s="921"/>
      <c r="P239" s="921">
        <v>0</v>
      </c>
      <c r="Q239" s="921"/>
      <c r="R239" s="921"/>
      <c r="S239" s="731">
        <v>0</v>
      </c>
      <c r="T239" s="780"/>
      <c r="U239" s="774"/>
      <c r="V239" s="1099">
        <f>H239+M239</f>
        <v>120</v>
      </c>
      <c r="W239" s="1053"/>
      <c r="X239" s="1054"/>
      <c r="Y239" s="935"/>
      <c r="Z239" s="788">
        <f>IF(V239&gt;(H239+M239+N239),"ERRORE","")</f>
      </c>
      <c r="AA239" s="788">
        <f>IF(W239&gt;(H239+P239+Q239),"ERRORE","")</f>
      </c>
      <c r="AB239" s="788">
        <f>IF(X239&gt;(H239+S239+T239),"ERRORE","")</f>
      </c>
    </row>
    <row r="240" spans="1:28" s="773" customFormat="1" ht="27.75" customHeight="1" hidden="1">
      <c r="A240" s="953">
        <v>15</v>
      </c>
      <c r="B240" s="965">
        <v>3</v>
      </c>
      <c r="C240" s="961">
        <v>1</v>
      </c>
      <c r="D240" s="962"/>
      <c r="E240" s="961"/>
      <c r="F240" s="924"/>
      <c r="G240" s="959"/>
      <c r="H240" s="731"/>
      <c r="I240" s="731"/>
      <c r="J240" s="731"/>
      <c r="K240" s="731"/>
      <c r="L240" s="731"/>
      <c r="M240" s="731"/>
      <c r="N240" s="921"/>
      <c r="O240" s="921"/>
      <c r="P240" s="921"/>
      <c r="Q240" s="921"/>
      <c r="R240" s="921"/>
      <c r="S240" s="731"/>
      <c r="T240" s="780"/>
      <c r="U240" s="934"/>
      <c r="V240" s="781"/>
      <c r="W240" s="1055"/>
      <c r="X240" s="958"/>
      <c r="Y240" s="935"/>
      <c r="Z240" s="788">
        <f>IF(V240&gt;(H240+M240+N240),"ERRORE","")</f>
      </c>
      <c r="AA240" s="788">
        <f>IF(W240&gt;(H240+P240+Q240),"ERRORE","")</f>
      </c>
      <c r="AB240" s="788">
        <f>IF(X240&gt;(H240+S240+T240),"ERRORE","")</f>
      </c>
    </row>
    <row r="241" spans="1:28" s="853" customFormat="1" ht="35.25" customHeight="1" thickBot="1">
      <c r="A241" s="1331" t="s">
        <v>705</v>
      </c>
      <c r="B241" s="1332"/>
      <c r="C241" s="1332"/>
      <c r="D241" s="1332"/>
      <c r="E241" s="1332"/>
      <c r="F241" s="1332"/>
      <c r="G241" s="1333"/>
      <c r="H241" s="1049">
        <f>SUM(H239:H240)</f>
        <v>120</v>
      </c>
      <c r="I241" s="1049">
        <f>SUM(I239:I240)</f>
        <v>0</v>
      </c>
      <c r="J241" s="1049">
        <f>SUM(J239:J240)</f>
        <v>0</v>
      </c>
      <c r="K241" s="1049">
        <f>SUM(K239:K240)</f>
        <v>6150</v>
      </c>
      <c r="L241" s="1049">
        <f aca="true" t="shared" si="86" ref="L241:S241">SUM(L239:L240)</f>
        <v>0</v>
      </c>
      <c r="M241" s="1049">
        <f t="shared" si="86"/>
        <v>0</v>
      </c>
      <c r="N241" s="1049">
        <f t="shared" si="86"/>
        <v>0</v>
      </c>
      <c r="O241" s="1049">
        <f t="shared" si="86"/>
        <v>0</v>
      </c>
      <c r="P241" s="1049">
        <f t="shared" si="86"/>
        <v>0</v>
      </c>
      <c r="Q241" s="1049">
        <f t="shared" si="86"/>
        <v>0</v>
      </c>
      <c r="R241" s="1049">
        <f t="shared" si="86"/>
        <v>0</v>
      </c>
      <c r="S241" s="1049">
        <f t="shared" si="86"/>
        <v>0</v>
      </c>
      <c r="T241" s="1049">
        <f>SUM(T239:T240)</f>
        <v>0</v>
      </c>
      <c r="U241" s="1050">
        <f>SUM(U239:U240)</f>
        <v>0</v>
      </c>
      <c r="V241" s="842">
        <f>SUM(V239:V240)</f>
        <v>120</v>
      </c>
      <c r="W241" s="1056"/>
      <c r="X241" s="1057">
        <f>SUM(X238:X238)</f>
        <v>0</v>
      </c>
      <c r="Z241" s="788">
        <f>IF(V241&gt;(H241+M241+N241),"ERRORE","")</f>
      </c>
      <c r="AA241" s="788">
        <f>IF(W241&gt;(H241+P241+Q241),"ERRORE","")</f>
      </c>
      <c r="AB241" s="788">
        <f>IF(X241&gt;(H241+S241+T241),"ERRORE","")</f>
      </c>
    </row>
    <row r="242" spans="1:30" s="853" customFormat="1" ht="23.25" customHeight="1" thickBot="1">
      <c r="A242" s="1336" t="s">
        <v>352</v>
      </c>
      <c r="B242" s="1337"/>
      <c r="C242" s="1337"/>
      <c r="D242" s="1337"/>
      <c r="E242" s="1337"/>
      <c r="F242" s="1337"/>
      <c r="G242" s="1338"/>
      <c r="H242" s="742">
        <f>H238+H241</f>
        <v>3404.25</v>
      </c>
      <c r="I242" s="742">
        <f>I238+I241</f>
        <v>0</v>
      </c>
      <c r="J242" s="742">
        <f>J238+J241</f>
        <v>0</v>
      </c>
      <c r="K242" s="742">
        <f>K238+K241</f>
        <v>8150</v>
      </c>
      <c r="L242" s="742">
        <f aca="true" t="shared" si="87" ref="L242:W242">L238+L241</f>
        <v>0</v>
      </c>
      <c r="M242" s="742">
        <f t="shared" si="87"/>
        <v>2000</v>
      </c>
      <c r="N242" s="742">
        <f t="shared" si="87"/>
        <v>0</v>
      </c>
      <c r="O242" s="742">
        <f t="shared" si="87"/>
        <v>0</v>
      </c>
      <c r="P242" s="742">
        <f t="shared" si="87"/>
        <v>2000</v>
      </c>
      <c r="Q242" s="742">
        <f t="shared" si="87"/>
        <v>0</v>
      </c>
      <c r="R242" s="742">
        <f t="shared" si="87"/>
        <v>0</v>
      </c>
      <c r="S242" s="742">
        <f t="shared" si="87"/>
        <v>2000</v>
      </c>
      <c r="T242" s="742">
        <f t="shared" si="87"/>
        <v>0</v>
      </c>
      <c r="U242" s="742">
        <f t="shared" si="87"/>
        <v>0</v>
      </c>
      <c r="V242" s="742">
        <f t="shared" si="87"/>
        <v>5404.25</v>
      </c>
      <c r="W242" s="742">
        <f t="shared" si="87"/>
        <v>0</v>
      </c>
      <c r="X242" s="742">
        <f>X238</f>
        <v>0</v>
      </c>
      <c r="Z242" s="1279"/>
      <c r="AA242" s="1276"/>
      <c r="AB242" s="788"/>
      <c r="AD242" s="854"/>
    </row>
    <row r="243" spans="1:28" s="853" customFormat="1" ht="23.25" customHeight="1" thickBot="1">
      <c r="A243" s="1336" t="s">
        <v>354</v>
      </c>
      <c r="B243" s="1337"/>
      <c r="C243" s="1337"/>
      <c r="D243" s="1337"/>
      <c r="E243" s="1337"/>
      <c r="F243" s="1337"/>
      <c r="G243" s="1338"/>
      <c r="H243" s="1393"/>
      <c r="I243" s="1394"/>
      <c r="J243" s="1394"/>
      <c r="K243" s="1394"/>
      <c r="L243" s="1394"/>
      <c r="M243" s="1394"/>
      <c r="N243" s="1394"/>
      <c r="O243" s="1394"/>
      <c r="P243" s="1394"/>
      <c r="Q243" s="1394"/>
      <c r="R243" s="1394"/>
      <c r="S243" s="1394"/>
      <c r="T243" s="1394"/>
      <c r="U243" s="1394"/>
      <c r="V243" s="1394"/>
      <c r="W243" s="1394"/>
      <c r="X243" s="1395"/>
      <c r="Z243" s="1278"/>
      <c r="AA243" s="1276"/>
      <c r="AB243" s="788"/>
    </row>
    <row r="244" spans="1:30" s="773" customFormat="1" ht="27.75" customHeight="1" thickBot="1">
      <c r="A244" s="1260">
        <v>20</v>
      </c>
      <c r="B244" s="1261">
        <v>1</v>
      </c>
      <c r="C244" s="1261">
        <v>1</v>
      </c>
      <c r="D244" s="1262">
        <v>960</v>
      </c>
      <c r="E244" s="804">
        <v>110</v>
      </c>
      <c r="F244" s="1262" t="s">
        <v>123</v>
      </c>
      <c r="G244" s="1263" t="s">
        <v>245</v>
      </c>
      <c r="H244" s="1271"/>
      <c r="I244" s="764"/>
      <c r="J244" s="764"/>
      <c r="K244" s="1264">
        <v>21470</v>
      </c>
      <c r="L244" s="1271"/>
      <c r="M244" s="1264">
        <v>8666</v>
      </c>
      <c r="N244" s="1265"/>
      <c r="O244" s="1265"/>
      <c r="P244" s="1264">
        <v>7878</v>
      </c>
      <c r="Q244" s="1265"/>
      <c r="R244" s="1265"/>
      <c r="S244" s="1264">
        <v>16996</v>
      </c>
      <c r="T244" s="1272"/>
      <c r="U244" s="1273"/>
      <c r="V244" s="843">
        <v>0</v>
      </c>
      <c r="W244" s="1036"/>
      <c r="X244" s="934"/>
      <c r="Y244" s="1274"/>
      <c r="Z244" s="1278"/>
      <c r="AA244" s="1276"/>
      <c r="AB244" s="788"/>
      <c r="AD244" s="855"/>
    </row>
    <row r="245" spans="1:30" s="773" customFormat="1" ht="27.75" customHeight="1">
      <c r="A245" s="1257">
        <v>20</v>
      </c>
      <c r="B245" s="783">
        <v>1</v>
      </c>
      <c r="C245" s="783">
        <v>1</v>
      </c>
      <c r="D245" s="784" t="s">
        <v>979</v>
      </c>
      <c r="E245" s="967">
        <v>110</v>
      </c>
      <c r="F245" s="784" t="s">
        <v>994</v>
      </c>
      <c r="G245" s="1270" t="s">
        <v>978</v>
      </c>
      <c r="H245" s="1266"/>
      <c r="I245" s="1266"/>
      <c r="J245" s="1266"/>
      <c r="K245" s="1267"/>
      <c r="L245" s="1266"/>
      <c r="M245" s="1267"/>
      <c r="N245" s="1267"/>
      <c r="O245" s="1267"/>
      <c r="P245" s="1267"/>
      <c r="Q245" s="1268"/>
      <c r="R245" s="1269"/>
      <c r="S245" s="1269"/>
      <c r="T245" s="935"/>
      <c r="U245" s="1258"/>
      <c r="V245" s="843">
        <v>100000</v>
      </c>
      <c r="W245" s="1258"/>
      <c r="X245" s="1259"/>
      <c r="Y245" s="1274"/>
      <c r="Z245" s="1278"/>
      <c r="AA245" s="1276"/>
      <c r="AB245" s="788"/>
      <c r="AD245" s="855"/>
    </row>
    <row r="246" spans="1:30" s="853" customFormat="1" ht="27.75" customHeight="1">
      <c r="A246" s="1334" t="s">
        <v>355</v>
      </c>
      <c r="B246" s="1335"/>
      <c r="C246" s="1335"/>
      <c r="D246" s="1335"/>
      <c r="E246" s="1335"/>
      <c r="F246" s="1335"/>
      <c r="G246" s="1335"/>
      <c r="H246" s="732">
        <f>SUM(H244:H245)</f>
        <v>0</v>
      </c>
      <c r="I246" s="732">
        <f>SUM(I244:I245)</f>
        <v>0</v>
      </c>
      <c r="J246" s="732">
        <f>SUM(J244:J245)</f>
        <v>0</v>
      </c>
      <c r="K246" s="732">
        <f>SUM(K244:K245)</f>
        <v>21470</v>
      </c>
      <c r="L246" s="732">
        <f aca="true" t="shared" si="88" ref="L246:S246">SUM(L244:L245)</f>
        <v>0</v>
      </c>
      <c r="M246" s="732">
        <f t="shared" si="88"/>
        <v>8666</v>
      </c>
      <c r="N246" s="732">
        <f t="shared" si="88"/>
        <v>0</v>
      </c>
      <c r="O246" s="732">
        <f t="shared" si="88"/>
        <v>0</v>
      </c>
      <c r="P246" s="732">
        <f t="shared" si="88"/>
        <v>7878</v>
      </c>
      <c r="Q246" s="732">
        <f t="shared" si="88"/>
        <v>0</v>
      </c>
      <c r="R246" s="732">
        <f t="shared" si="88"/>
        <v>0</v>
      </c>
      <c r="S246" s="732">
        <f t="shared" si="88"/>
        <v>16996</v>
      </c>
      <c r="T246" s="732">
        <f>SUM(T244:T245)</f>
        <v>0</v>
      </c>
      <c r="U246" s="732">
        <f>SUM(U244:U245)</f>
        <v>0</v>
      </c>
      <c r="V246" s="984">
        <f>SUM(V244:V245)</f>
        <v>100000</v>
      </c>
      <c r="W246" s="983">
        <f>SUM(W244)</f>
        <v>0</v>
      </c>
      <c r="X246" s="767">
        <f>SUM(X244)</f>
        <v>0</v>
      </c>
      <c r="Y246" s="1275"/>
      <c r="Z246" s="1278"/>
      <c r="AA246" s="1276">
        <f t="shared" si="64"/>
      </c>
      <c r="AB246" s="788">
        <f t="shared" si="65"/>
      </c>
      <c r="AD246" s="854"/>
    </row>
    <row r="247" spans="1:28" s="773" customFormat="1" ht="27.75" customHeight="1">
      <c r="A247" s="1005">
        <v>20</v>
      </c>
      <c r="B247" s="972">
        <v>2</v>
      </c>
      <c r="C247" s="972">
        <v>1</v>
      </c>
      <c r="D247" s="973">
        <v>965</v>
      </c>
      <c r="E247" s="979">
        <v>110</v>
      </c>
      <c r="F247" s="973" t="s">
        <v>122</v>
      </c>
      <c r="G247" s="1037" t="s">
        <v>176</v>
      </c>
      <c r="H247" s="751">
        <v>0</v>
      </c>
      <c r="I247" s="751"/>
      <c r="J247" s="751"/>
      <c r="K247" s="727">
        <f>64822+5870</f>
        <v>70692</v>
      </c>
      <c r="L247" s="751"/>
      <c r="M247" s="727">
        <v>58903</v>
      </c>
      <c r="N247" s="1092"/>
      <c r="O247" s="1092"/>
      <c r="P247" s="727">
        <v>48567</v>
      </c>
      <c r="Q247" s="1228"/>
      <c r="R247" s="1092"/>
      <c r="S247" s="727">
        <v>36408</v>
      </c>
      <c r="T247" s="935"/>
      <c r="U247" s="1022"/>
      <c r="V247" s="839">
        <v>0</v>
      </c>
      <c r="W247" s="935"/>
      <c r="X247" s="937"/>
      <c r="Y247" s="1274"/>
      <c r="Z247" s="1278"/>
      <c r="AA247" s="1276"/>
      <c r="AB247" s="788"/>
    </row>
    <row r="248" spans="1:28" s="773" customFormat="1" ht="27.75" customHeight="1">
      <c r="A248" s="1334" t="s">
        <v>356</v>
      </c>
      <c r="B248" s="1335"/>
      <c r="C248" s="1335"/>
      <c r="D248" s="1335"/>
      <c r="E248" s="1335"/>
      <c r="F248" s="1335"/>
      <c r="G248" s="1335"/>
      <c r="H248" s="732">
        <f>SUM(H247)</f>
        <v>0</v>
      </c>
      <c r="I248" s="732">
        <f aca="true" t="shared" si="89" ref="I248:X248">SUM(I247)</f>
        <v>0</v>
      </c>
      <c r="J248" s="732">
        <f t="shared" si="89"/>
        <v>0</v>
      </c>
      <c r="K248" s="732">
        <f t="shared" si="89"/>
        <v>70692</v>
      </c>
      <c r="L248" s="732">
        <f t="shared" si="89"/>
        <v>0</v>
      </c>
      <c r="M248" s="732">
        <f t="shared" si="89"/>
        <v>58903</v>
      </c>
      <c r="N248" s="732">
        <f t="shared" si="89"/>
        <v>0</v>
      </c>
      <c r="O248" s="732">
        <f t="shared" si="89"/>
        <v>0</v>
      </c>
      <c r="P248" s="732">
        <f t="shared" si="89"/>
        <v>48567</v>
      </c>
      <c r="Q248" s="732">
        <f t="shared" si="89"/>
        <v>0</v>
      </c>
      <c r="R248" s="732">
        <f t="shared" si="89"/>
        <v>0</v>
      </c>
      <c r="S248" s="732">
        <f t="shared" si="89"/>
        <v>36408</v>
      </c>
      <c r="T248" s="732">
        <f t="shared" si="89"/>
        <v>0</v>
      </c>
      <c r="U248" s="767">
        <f t="shared" si="89"/>
        <v>0</v>
      </c>
      <c r="V248" s="768">
        <f t="shared" si="89"/>
        <v>0</v>
      </c>
      <c r="W248" s="1000">
        <f t="shared" si="89"/>
        <v>0</v>
      </c>
      <c r="X248" s="767">
        <f t="shared" si="89"/>
        <v>0</v>
      </c>
      <c r="Y248" s="1274"/>
      <c r="Z248" s="1278"/>
      <c r="AA248" s="1276">
        <f t="shared" si="64"/>
      </c>
      <c r="AB248" s="788">
        <f t="shared" si="65"/>
      </c>
    </row>
    <row r="249" spans="1:28" s="773" customFormat="1" ht="27.75" customHeight="1">
      <c r="A249" s="1023">
        <v>20</v>
      </c>
      <c r="B249" s="1025">
        <v>3</v>
      </c>
      <c r="C249" s="1025">
        <v>1</v>
      </c>
      <c r="D249" s="1027">
        <v>970</v>
      </c>
      <c r="E249" s="1024">
        <v>110</v>
      </c>
      <c r="F249" s="1027" t="s">
        <v>177</v>
      </c>
      <c r="G249" s="1097" t="s">
        <v>914</v>
      </c>
      <c r="H249" s="1098">
        <v>0</v>
      </c>
      <c r="I249" s="741"/>
      <c r="J249" s="741"/>
      <c r="K249" s="741">
        <v>2119</v>
      </c>
      <c r="L249" s="741"/>
      <c r="M249" s="741">
        <v>2119</v>
      </c>
      <c r="N249" s="779"/>
      <c r="O249" s="779"/>
      <c r="P249" s="741">
        <v>2119</v>
      </c>
      <c r="Q249" s="779"/>
      <c r="R249" s="779"/>
      <c r="S249" s="741">
        <v>2119</v>
      </c>
      <c r="T249" s="1029"/>
      <c r="U249" s="779"/>
      <c r="V249" s="840">
        <v>0</v>
      </c>
      <c r="W249" s="935"/>
      <c r="X249" s="937"/>
      <c r="Y249" s="1274"/>
      <c r="Z249" s="1278"/>
      <c r="AA249" s="1276"/>
      <c r="AB249" s="788"/>
    </row>
    <row r="250" spans="1:28" s="773" customFormat="1" ht="27.75" customHeight="1">
      <c r="A250" s="953">
        <v>20</v>
      </c>
      <c r="B250" s="954">
        <v>3</v>
      </c>
      <c r="C250" s="954">
        <v>1</v>
      </c>
      <c r="D250" s="923">
        <v>972</v>
      </c>
      <c r="E250" s="955">
        <v>110</v>
      </c>
      <c r="F250" s="923" t="s">
        <v>177</v>
      </c>
      <c r="G250" s="1001" t="s">
        <v>904</v>
      </c>
      <c r="H250" s="1229">
        <v>0</v>
      </c>
      <c r="I250" s="731"/>
      <c r="J250" s="731"/>
      <c r="K250" s="731">
        <v>0</v>
      </c>
      <c r="L250" s="731"/>
      <c r="M250" s="731">
        <v>14000</v>
      </c>
      <c r="N250" s="731"/>
      <c r="O250" s="731"/>
      <c r="P250" s="731">
        <v>14000</v>
      </c>
      <c r="Q250" s="731"/>
      <c r="R250" s="731"/>
      <c r="S250" s="731">
        <v>14000</v>
      </c>
      <c r="T250" s="780"/>
      <c r="U250" s="921"/>
      <c r="V250" s="781">
        <v>0</v>
      </c>
      <c r="W250" s="935"/>
      <c r="X250" s="937"/>
      <c r="Y250" s="1274"/>
      <c r="Z250" s="1278"/>
      <c r="AA250" s="1276"/>
      <c r="AB250" s="788"/>
    </row>
    <row r="251" spans="1:28" s="773" customFormat="1" ht="27.75" customHeight="1">
      <c r="A251" s="1005">
        <v>20</v>
      </c>
      <c r="B251" s="972">
        <v>3</v>
      </c>
      <c r="C251" s="972">
        <v>1</v>
      </c>
      <c r="D251" s="973">
        <v>975</v>
      </c>
      <c r="E251" s="979">
        <v>110</v>
      </c>
      <c r="F251" s="973" t="s">
        <v>177</v>
      </c>
      <c r="G251" s="1038" t="s">
        <v>737</v>
      </c>
      <c r="H251" s="1096">
        <v>0</v>
      </c>
      <c r="I251" s="740"/>
      <c r="J251" s="740"/>
      <c r="K251" s="740">
        <v>1000</v>
      </c>
      <c r="L251" s="740"/>
      <c r="M251" s="740">
        <v>1000</v>
      </c>
      <c r="N251" s="922"/>
      <c r="O251" s="922"/>
      <c r="P251" s="740">
        <v>1000</v>
      </c>
      <c r="Q251" s="934"/>
      <c r="R251" s="922"/>
      <c r="S251" s="740">
        <v>1000</v>
      </c>
      <c r="T251" s="935"/>
      <c r="U251" s="934"/>
      <c r="V251" s="839">
        <v>0</v>
      </c>
      <c r="W251" s="935"/>
      <c r="X251" s="937"/>
      <c r="Y251" s="1274"/>
      <c r="Z251" s="1278"/>
      <c r="AA251" s="1276"/>
      <c r="AB251" s="788"/>
    </row>
    <row r="252" spans="1:28" s="773" customFormat="1" ht="27.75" customHeight="1" thickBot="1">
      <c r="A252" s="1396" t="s">
        <v>357</v>
      </c>
      <c r="B252" s="1397"/>
      <c r="C252" s="1397"/>
      <c r="D252" s="1397"/>
      <c r="E252" s="1397"/>
      <c r="F252" s="1397"/>
      <c r="G252" s="1397"/>
      <c r="H252" s="1049">
        <f>SUM(H249)</f>
        <v>0</v>
      </c>
      <c r="I252" s="1049">
        <f>SUM(I249)</f>
        <v>0</v>
      </c>
      <c r="J252" s="1049">
        <f>SUM(J249)</f>
        <v>0</v>
      </c>
      <c r="K252" s="1049">
        <f>SUM(K249:K251)</f>
        <v>3119</v>
      </c>
      <c r="L252" s="1049">
        <f aca="true" t="shared" si="90" ref="L252:S252">SUM(L249:L251)</f>
        <v>0</v>
      </c>
      <c r="M252" s="1049">
        <f t="shared" si="90"/>
        <v>17119</v>
      </c>
      <c r="N252" s="1049">
        <f t="shared" si="90"/>
        <v>0</v>
      </c>
      <c r="O252" s="1049">
        <f t="shared" si="90"/>
        <v>0</v>
      </c>
      <c r="P252" s="1049">
        <f t="shared" si="90"/>
        <v>17119</v>
      </c>
      <c r="Q252" s="1049">
        <f t="shared" si="90"/>
        <v>0</v>
      </c>
      <c r="R252" s="1049">
        <f t="shared" si="90"/>
        <v>0</v>
      </c>
      <c r="S252" s="1049">
        <f t="shared" si="90"/>
        <v>17119</v>
      </c>
      <c r="T252" s="1049">
        <f>SUM(T249)</f>
        <v>0</v>
      </c>
      <c r="U252" s="1050">
        <f>SUM(U249)</f>
        <v>0</v>
      </c>
      <c r="V252" s="842">
        <f>SUM(V249)</f>
        <v>0</v>
      </c>
      <c r="W252" s="1000">
        <f>SUM(W249)</f>
        <v>0</v>
      </c>
      <c r="X252" s="767">
        <f>SUM(X249)</f>
        <v>0</v>
      </c>
      <c r="Y252" s="1274"/>
      <c r="Z252" s="1278"/>
      <c r="AA252" s="1276">
        <f t="shared" si="64"/>
      </c>
      <c r="AB252" s="788">
        <f t="shared" si="65"/>
      </c>
    </row>
    <row r="253" spans="1:30" s="853" customFormat="1" ht="23.25" customHeight="1" thickBot="1">
      <c r="A253" s="1336" t="s">
        <v>358</v>
      </c>
      <c r="B253" s="1337"/>
      <c r="C253" s="1337"/>
      <c r="D253" s="1337"/>
      <c r="E253" s="1337"/>
      <c r="F253" s="1337"/>
      <c r="G253" s="1338"/>
      <c r="H253" s="742">
        <f>H246+H248+H252</f>
        <v>0</v>
      </c>
      <c r="I253" s="742">
        <f aca="true" t="shared" si="91" ref="I253:N253">I246+I248+I252</f>
        <v>0</v>
      </c>
      <c r="J253" s="742">
        <f t="shared" si="91"/>
        <v>0</v>
      </c>
      <c r="K253" s="742">
        <f t="shared" si="91"/>
        <v>95281</v>
      </c>
      <c r="L253" s="742">
        <f t="shared" si="91"/>
        <v>0</v>
      </c>
      <c r="M253" s="742">
        <f t="shared" si="91"/>
        <v>84688</v>
      </c>
      <c r="N253" s="742">
        <f t="shared" si="91"/>
        <v>0</v>
      </c>
      <c r="O253" s="742">
        <f aca="true" t="shared" si="92" ref="O253:X253">O246+O248+O252</f>
        <v>0</v>
      </c>
      <c r="P253" s="742">
        <f t="shared" si="92"/>
        <v>73564</v>
      </c>
      <c r="Q253" s="742">
        <f t="shared" si="92"/>
        <v>0</v>
      </c>
      <c r="R253" s="742">
        <f t="shared" si="92"/>
        <v>0</v>
      </c>
      <c r="S253" s="742">
        <f t="shared" si="92"/>
        <v>70523</v>
      </c>
      <c r="T253" s="742">
        <f t="shared" si="92"/>
        <v>0</v>
      </c>
      <c r="U253" s="742">
        <f t="shared" si="92"/>
        <v>0</v>
      </c>
      <c r="V253" s="742">
        <f t="shared" si="92"/>
        <v>100000</v>
      </c>
      <c r="W253" s="742">
        <f t="shared" si="92"/>
        <v>0</v>
      </c>
      <c r="X253" s="742">
        <f t="shared" si="92"/>
        <v>0</v>
      </c>
      <c r="Y253" s="1275"/>
      <c r="Z253" s="1278"/>
      <c r="AA253" s="1276"/>
      <c r="AB253" s="788"/>
      <c r="AD253" s="854"/>
    </row>
    <row r="254" spans="1:32" s="859" customFormat="1" ht="34.5" customHeight="1" thickBot="1">
      <c r="A254" s="1404" t="s">
        <v>73</v>
      </c>
      <c r="B254" s="1405"/>
      <c r="C254" s="1405"/>
      <c r="D254" s="1405"/>
      <c r="E254" s="1405"/>
      <c r="F254" s="1405"/>
      <c r="G254" s="1405"/>
      <c r="H254" s="1062">
        <f aca="true" t="shared" si="93" ref="H254:W254">H94+H103+H123+H132+H145+H154+H172+H186+H192+H229+H233+H242+H253</f>
        <v>803767.74</v>
      </c>
      <c r="I254" s="1062">
        <f t="shared" si="93"/>
        <v>0</v>
      </c>
      <c r="J254" s="1062">
        <f t="shared" si="93"/>
        <v>0</v>
      </c>
      <c r="K254" s="1062">
        <f t="shared" si="93"/>
        <v>2448348.82</v>
      </c>
      <c r="L254" s="1062">
        <f t="shared" si="93"/>
        <v>98408.63</v>
      </c>
      <c r="M254" s="1062">
        <f t="shared" si="93"/>
        <v>2265960</v>
      </c>
      <c r="N254" s="1062">
        <f t="shared" si="93"/>
        <v>0</v>
      </c>
      <c r="O254" s="1062">
        <f t="shared" si="93"/>
        <v>0</v>
      </c>
      <c r="P254" s="1062">
        <f t="shared" si="93"/>
        <v>2194660</v>
      </c>
      <c r="Q254" s="1062">
        <f t="shared" si="93"/>
        <v>0</v>
      </c>
      <c r="R254" s="1062">
        <f t="shared" si="93"/>
        <v>0</v>
      </c>
      <c r="S254" s="1062">
        <f t="shared" si="93"/>
        <v>2187975</v>
      </c>
      <c r="T254" s="1062">
        <f t="shared" si="93"/>
        <v>0</v>
      </c>
      <c r="U254" s="1062">
        <f t="shared" si="93"/>
        <v>0</v>
      </c>
      <c r="V254" s="1062">
        <f t="shared" si="93"/>
        <v>3085039.74</v>
      </c>
      <c r="W254" s="743">
        <f t="shared" si="93"/>
        <v>0</v>
      </c>
      <c r="X254" s="1039">
        <f>X20+X30+X37+X41+X48+X56+X64+X67+X82+X93+X102+X108+X119+X122+X131+X137+X144+X150+X153+X159+X162+X168+X171+X185+X191+X197+X202+X205+X210+X217+X223+X228+X232+X238+X246+X248+X252</f>
        <v>0</v>
      </c>
      <c r="Y254" s="1040"/>
      <c r="Z254" s="1278"/>
      <c r="AA254" s="1276">
        <f t="shared" si="64"/>
      </c>
      <c r="AB254" s="788">
        <f t="shared" si="65"/>
      </c>
      <c r="AD254" s="851"/>
      <c r="AF254" s="851"/>
    </row>
    <row r="255" spans="1:32" s="859" customFormat="1" ht="34.5" customHeight="1" thickBot="1">
      <c r="A255" s="1041"/>
      <c r="B255" s="1042"/>
      <c r="C255" s="1042"/>
      <c r="D255" s="1042"/>
      <c r="E255" s="1042"/>
      <c r="F255" s="1042"/>
      <c r="G255" s="1042"/>
      <c r="H255" s="1102"/>
      <c r="I255" s="1059"/>
      <c r="J255" s="1059"/>
      <c r="K255" s="1343"/>
      <c r="L255" s="1343"/>
      <c r="M255" s="1061"/>
      <c r="N255" s="1059"/>
      <c r="O255" s="1059"/>
      <c r="P255" s="1059"/>
      <c r="Q255" s="1059"/>
      <c r="R255" s="1059"/>
      <c r="S255" s="1059"/>
      <c r="T255" s="1059"/>
      <c r="U255" s="1059"/>
      <c r="V255" s="1102"/>
      <c r="W255" s="1059"/>
      <c r="X255" s="1060"/>
      <c r="Y255" s="823"/>
      <c r="Z255" s="1278"/>
      <c r="AA255" s="1280"/>
      <c r="AB255" s="1277"/>
      <c r="AD255" s="851"/>
      <c r="AF255" s="851"/>
    </row>
    <row r="256" spans="1:32" s="651" customFormat="1" ht="34.5" customHeight="1" thickBot="1">
      <c r="A256" s="1371" t="s">
        <v>74</v>
      </c>
      <c r="B256" s="1372"/>
      <c r="C256" s="1372"/>
      <c r="D256" s="1372"/>
      <c r="E256" s="1372"/>
      <c r="F256" s="1372"/>
      <c r="G256" s="1372"/>
      <c r="H256" s="1372"/>
      <c r="I256" s="1372"/>
      <c r="J256" s="1372"/>
      <c r="K256" s="1372"/>
      <c r="L256" s="1372"/>
      <c r="M256" s="1372"/>
      <c r="N256" s="1372"/>
      <c r="O256" s="1372"/>
      <c r="P256" s="1372"/>
      <c r="Q256" s="1372"/>
      <c r="R256" s="1372"/>
      <c r="S256" s="1372"/>
      <c r="T256" s="1372"/>
      <c r="U256" s="1372"/>
      <c r="V256" s="1372"/>
      <c r="W256" s="1372"/>
      <c r="X256" s="1375"/>
      <c r="Z256" s="1281">
        <f t="shared" si="63"/>
      </c>
      <c r="AA256" s="1281">
        <f t="shared" si="64"/>
      </c>
      <c r="AB256" s="1282">
        <f t="shared" si="65"/>
      </c>
      <c r="AD256" s="856"/>
      <c r="AE256" s="856"/>
      <c r="AF256" s="856"/>
    </row>
    <row r="257" spans="1:32" s="588" customFormat="1" ht="56.25" customHeight="1" thickBot="1">
      <c r="A257" s="394" t="str">
        <f aca="true" t="shared" si="94" ref="A257:X257">A5</f>
        <v>Missione</v>
      </c>
      <c r="B257" s="395" t="str">
        <f t="shared" si="94"/>
        <v>Programma</v>
      </c>
      <c r="C257" s="395" t="str">
        <f t="shared" si="94"/>
        <v>Titolo</v>
      </c>
      <c r="D257" s="395" t="str">
        <f t="shared" si="94"/>
        <v>Capitolo</v>
      </c>
      <c r="E257" s="395" t="str">
        <f t="shared" si="94"/>
        <v>Codice PdC</v>
      </c>
      <c r="F257" s="395" t="str">
        <f t="shared" si="94"/>
        <v>Piano dei conti</v>
      </c>
      <c r="G257" s="395" t="str">
        <f t="shared" si="94"/>
        <v>DESCRIZIONE</v>
      </c>
      <c r="H257" s="395" t="str">
        <f t="shared" si="94"/>
        <v>RESIDUI PRESUNTI AL 31.12.2020                 AL 12.01.2021</v>
      </c>
      <c r="I257" s="395" t="str">
        <f t="shared" si="94"/>
        <v>PREVISIONE INIZIALE 2018</v>
      </c>
      <c r="J257" s="395" t="str">
        <f t="shared" si="94"/>
        <v>IMPEGNI 2018 ALLA DATA DEL </v>
      </c>
      <c r="K257" s="744" t="str">
        <f t="shared" si="94"/>
        <v>PREVISIONE 2020          al 12.01.2021</v>
      </c>
      <c r="L257" s="744" t="str">
        <f t="shared" si="94"/>
        <v>PREVISIONE 2020                    (solo FPV)</v>
      </c>
      <c r="M257" s="744" t="str">
        <f t="shared" si="94"/>
        <v>PREVISIONE 2021</v>
      </c>
      <c r="N257" s="395" t="str">
        <f t="shared" si="94"/>
        <v>PREVISIONE 2020                               (solo FPV)</v>
      </c>
      <c r="O257" s="395" t="str">
        <f t="shared" si="94"/>
        <v>F.P.V. rinveniente da debito</v>
      </c>
      <c r="P257" s="395" t="str">
        <f t="shared" si="94"/>
        <v>PREVISIONE 2022</v>
      </c>
      <c r="Q257" s="395" t="str">
        <f t="shared" si="94"/>
        <v>PREVISIONE 2021                      (solo FPV)</v>
      </c>
      <c r="R257" s="395" t="str">
        <f t="shared" si="94"/>
        <v>F.P.V. rinveniente da debito</v>
      </c>
      <c r="S257" s="395" t="str">
        <f t="shared" si="94"/>
        <v>PREVISIONE 2023</v>
      </c>
      <c r="T257" s="397" t="str">
        <f t="shared" si="94"/>
        <v>PREVISIONE 2022                      (solo FPV)</v>
      </c>
      <c r="U257" s="395" t="str">
        <f t="shared" si="94"/>
        <v>F.P.V. rinveniente da debito</v>
      </c>
      <c r="V257" s="831" t="str">
        <f t="shared" si="94"/>
        <v>PEVISIONE DI CASSA 2021</v>
      </c>
      <c r="W257" s="652" t="str">
        <f t="shared" si="94"/>
        <v>PEVISIONE DI CASSA 2021</v>
      </c>
      <c r="X257" s="536" t="str">
        <f t="shared" si="94"/>
        <v>PEVISIONE DI CASSA 2022</v>
      </c>
      <c r="Z257" s="1281"/>
      <c r="AA257" s="1281"/>
      <c r="AB257" s="1282"/>
      <c r="AD257" s="852"/>
      <c r="AE257" s="852"/>
      <c r="AF257" s="852"/>
    </row>
    <row r="258" spans="1:32" s="589" customFormat="1" ht="21" customHeight="1" thickBot="1">
      <c r="A258" s="1368" t="s">
        <v>31</v>
      </c>
      <c r="B258" s="1369"/>
      <c r="C258" s="1369"/>
      <c r="D258" s="1369"/>
      <c r="E258" s="1369"/>
      <c r="F258" s="1369"/>
      <c r="G258" s="1370"/>
      <c r="H258" s="1382"/>
      <c r="I258" s="1383"/>
      <c r="J258" s="1383"/>
      <c r="K258" s="1383"/>
      <c r="L258" s="1383"/>
      <c r="M258" s="1383"/>
      <c r="N258" s="1383"/>
      <c r="O258" s="1383"/>
      <c r="P258" s="1383"/>
      <c r="Q258" s="1383"/>
      <c r="R258" s="1383"/>
      <c r="S258" s="1383"/>
      <c r="T258" s="1383"/>
      <c r="U258" s="1383"/>
      <c r="V258" s="1383"/>
      <c r="W258" s="1383"/>
      <c r="X258" s="1384"/>
      <c r="Z258" s="1391"/>
      <c r="AA258" s="1391"/>
      <c r="AB258" s="1392"/>
      <c r="AD258" s="853"/>
      <c r="AE258" s="853"/>
      <c r="AF258" s="853"/>
    </row>
    <row r="259" spans="1:32" s="585" customFormat="1" ht="27.75" customHeight="1">
      <c r="A259" s="404">
        <v>1</v>
      </c>
      <c r="B259" s="590">
        <v>1</v>
      </c>
      <c r="C259" s="590">
        <v>2</v>
      </c>
      <c r="D259" s="327">
        <v>2031</v>
      </c>
      <c r="E259" s="590">
        <v>202</v>
      </c>
      <c r="F259" s="545" t="s">
        <v>1002</v>
      </c>
      <c r="G259" s="723" t="s">
        <v>648</v>
      </c>
      <c r="H259" s="594">
        <v>50070.3</v>
      </c>
      <c r="I259" s="594"/>
      <c r="J259" s="594"/>
      <c r="K259" s="731">
        <v>50000</v>
      </c>
      <c r="L259" s="731">
        <v>42329.71</v>
      </c>
      <c r="M259" s="731"/>
      <c r="N259" s="731"/>
      <c r="O259" s="731"/>
      <c r="P259" s="731"/>
      <c r="Q259" s="780"/>
      <c r="R259" s="731"/>
      <c r="S259" s="731"/>
      <c r="T259" s="766"/>
      <c r="U259" s="868"/>
      <c r="V259" s="778">
        <f>H259+M259</f>
        <v>50070.3</v>
      </c>
      <c r="W259" s="653"/>
      <c r="X259" s="635"/>
      <c r="Z259" s="1283">
        <f t="shared" si="63"/>
      </c>
      <c r="AA259" s="600"/>
      <c r="AB259" s="600"/>
      <c r="AD259" s="773"/>
      <c r="AE259" s="773"/>
      <c r="AF259" s="773"/>
    </row>
    <row r="260" spans="1:32" s="585" customFormat="1" ht="27.75" customHeight="1">
      <c r="A260" s="469">
        <v>1</v>
      </c>
      <c r="B260" s="632">
        <v>1</v>
      </c>
      <c r="C260" s="632">
        <v>2</v>
      </c>
      <c r="D260" s="639">
        <v>2095</v>
      </c>
      <c r="E260" s="632">
        <v>202</v>
      </c>
      <c r="F260" s="514" t="s">
        <v>217</v>
      </c>
      <c r="G260" s="648" t="s">
        <v>965</v>
      </c>
      <c r="H260" s="517">
        <v>7131.73</v>
      </c>
      <c r="I260" s="517"/>
      <c r="J260" s="517"/>
      <c r="K260" s="740">
        <v>50000</v>
      </c>
      <c r="L260" s="740"/>
      <c r="M260" s="740">
        <v>50000</v>
      </c>
      <c r="N260" s="740"/>
      <c r="O260" s="740"/>
      <c r="P260" s="740"/>
      <c r="Q260" s="935"/>
      <c r="R260" s="740"/>
      <c r="S260" s="740">
        <v>50000</v>
      </c>
      <c r="T260" s="641"/>
      <c r="U260" s="636"/>
      <c r="V260" s="839">
        <f>H260+M260</f>
        <v>57131.729999999996</v>
      </c>
      <c r="W260" s="653"/>
      <c r="X260" s="635"/>
      <c r="Z260" s="600">
        <f t="shared" si="63"/>
      </c>
      <c r="AA260" s="600">
        <f t="shared" si="64"/>
      </c>
      <c r="AB260" s="600">
        <f t="shared" si="65"/>
      </c>
      <c r="AD260" s="773"/>
      <c r="AE260" s="773"/>
      <c r="AF260" s="773"/>
    </row>
    <row r="261" spans="1:32" s="585" customFormat="1" ht="27.75" customHeight="1">
      <c r="A261" s="1363" t="s">
        <v>359</v>
      </c>
      <c r="B261" s="1364"/>
      <c r="C261" s="1364"/>
      <c r="D261" s="1364"/>
      <c r="E261" s="1364"/>
      <c r="F261" s="1364"/>
      <c r="G261" s="1365"/>
      <c r="H261" s="623">
        <f>SUM(H259:H260)</f>
        <v>57202.03</v>
      </c>
      <c r="I261" s="623" t="e">
        <f>SUM(#REF!)</f>
        <v>#REF!</v>
      </c>
      <c r="J261" s="623" t="e">
        <f>SUM(#REF!)</f>
        <v>#REF!</v>
      </c>
      <c r="K261" s="732">
        <f aca="true" t="shared" si="95" ref="K261:X261">SUM(K259:K260)</f>
        <v>100000</v>
      </c>
      <c r="L261" s="732">
        <f t="shared" si="95"/>
        <v>42329.71</v>
      </c>
      <c r="M261" s="732">
        <f t="shared" si="95"/>
        <v>50000</v>
      </c>
      <c r="N261" s="732">
        <f t="shared" si="95"/>
        <v>0</v>
      </c>
      <c r="O261" s="732">
        <f t="shared" si="95"/>
        <v>0</v>
      </c>
      <c r="P261" s="732">
        <f t="shared" si="95"/>
        <v>0</v>
      </c>
      <c r="Q261" s="767">
        <f t="shared" si="95"/>
        <v>0</v>
      </c>
      <c r="R261" s="767">
        <f t="shared" si="95"/>
        <v>0</v>
      </c>
      <c r="S261" s="767">
        <f t="shared" si="95"/>
        <v>50000</v>
      </c>
      <c r="T261" s="629">
        <f t="shared" si="95"/>
        <v>0</v>
      </c>
      <c r="U261" s="629">
        <f t="shared" si="95"/>
        <v>0</v>
      </c>
      <c r="V261" s="768">
        <f t="shared" si="95"/>
        <v>107202.03</v>
      </c>
      <c r="W261" s="654">
        <f t="shared" si="95"/>
        <v>0</v>
      </c>
      <c r="X261" s="630">
        <f t="shared" si="95"/>
        <v>0</v>
      </c>
      <c r="Z261" s="600">
        <f t="shared" si="63"/>
      </c>
      <c r="AA261" s="600">
        <f t="shared" si="64"/>
      </c>
      <c r="AB261" s="600">
        <f t="shared" si="65"/>
      </c>
      <c r="AD261" s="773"/>
      <c r="AE261" s="773"/>
      <c r="AF261" s="773"/>
    </row>
    <row r="262" spans="1:32" s="585" customFormat="1" ht="27.75" customHeight="1" hidden="1">
      <c r="A262" s="404">
        <v>1</v>
      </c>
      <c r="B262" s="590">
        <v>5</v>
      </c>
      <c r="C262" s="590">
        <v>2</v>
      </c>
      <c r="D262" s="327"/>
      <c r="E262" s="590"/>
      <c r="F262" s="545"/>
      <c r="G262" s="655"/>
      <c r="H262" s="594"/>
      <c r="I262" s="594"/>
      <c r="J262" s="594"/>
      <c r="K262" s="731"/>
      <c r="L262" s="731"/>
      <c r="M262" s="731"/>
      <c r="N262" s="921"/>
      <c r="O262" s="921"/>
      <c r="P262" s="921"/>
      <c r="Q262" s="779"/>
      <c r="R262" s="921"/>
      <c r="S262" s="731"/>
      <c r="T262" s="598"/>
      <c r="U262" s="633"/>
      <c r="V262" s="781"/>
      <c r="W262" s="656"/>
      <c r="X262" s="608"/>
      <c r="Z262" s="600">
        <f t="shared" si="63"/>
      </c>
      <c r="AA262" s="600">
        <f t="shared" si="64"/>
      </c>
      <c r="AB262" s="600">
        <f t="shared" si="65"/>
      </c>
      <c r="AD262" s="773"/>
      <c r="AE262" s="773"/>
      <c r="AF262" s="773"/>
    </row>
    <row r="263" spans="1:32" s="585" customFormat="1" ht="27.75" customHeight="1" hidden="1">
      <c r="A263" s="453">
        <v>1</v>
      </c>
      <c r="B263" s="611">
        <v>5</v>
      </c>
      <c r="C263" s="611">
        <v>2</v>
      </c>
      <c r="D263" s="619"/>
      <c r="E263" s="611"/>
      <c r="F263" s="546"/>
      <c r="G263" s="610"/>
      <c r="H263" s="615"/>
      <c r="I263" s="615"/>
      <c r="J263" s="615"/>
      <c r="K263" s="729"/>
      <c r="L263" s="729"/>
      <c r="M263" s="729"/>
      <c r="N263" s="775"/>
      <c r="O263" s="775"/>
      <c r="P263" s="775"/>
      <c r="Q263" s="775"/>
      <c r="R263" s="775"/>
      <c r="S263" s="729"/>
      <c r="T263" s="617"/>
      <c r="U263" s="618"/>
      <c r="V263" s="778"/>
      <c r="W263" s="656"/>
      <c r="X263" s="608"/>
      <c r="Z263" s="600">
        <f t="shared" si="63"/>
      </c>
      <c r="AA263" s="600">
        <f t="shared" si="64"/>
      </c>
      <c r="AB263" s="600">
        <f t="shared" si="65"/>
      </c>
      <c r="AD263" s="773"/>
      <c r="AE263" s="773"/>
      <c r="AF263" s="773"/>
    </row>
    <row r="264" spans="1:32" s="585" customFormat="1" ht="27.75" customHeight="1" hidden="1">
      <c r="A264" s="453">
        <v>1</v>
      </c>
      <c r="B264" s="613">
        <v>5</v>
      </c>
      <c r="C264" s="613">
        <v>2</v>
      </c>
      <c r="D264" s="619"/>
      <c r="E264" s="611"/>
      <c r="F264" s="612"/>
      <c r="G264" s="628"/>
      <c r="H264" s="614"/>
      <c r="I264" s="614"/>
      <c r="J264" s="614"/>
      <c r="K264" s="729"/>
      <c r="L264" s="729"/>
      <c r="M264" s="729"/>
      <c r="N264" s="775"/>
      <c r="O264" s="775"/>
      <c r="P264" s="775"/>
      <c r="Q264" s="798"/>
      <c r="R264" s="775"/>
      <c r="S264" s="729"/>
      <c r="T264" s="617"/>
      <c r="U264" s="622"/>
      <c r="V264" s="839"/>
      <c r="W264" s="1046"/>
      <c r="X264" s="608"/>
      <c r="Z264" s="600">
        <f t="shared" si="63"/>
      </c>
      <c r="AA264" s="600">
        <f t="shared" si="64"/>
      </c>
      <c r="AB264" s="600">
        <f t="shared" si="65"/>
      </c>
      <c r="AD264" s="773"/>
      <c r="AE264" s="773"/>
      <c r="AF264" s="773"/>
    </row>
    <row r="265" spans="1:32" s="585" customFormat="1" ht="27.75" customHeight="1">
      <c r="A265" s="1363" t="s">
        <v>38</v>
      </c>
      <c r="B265" s="1364"/>
      <c r="C265" s="1364"/>
      <c r="D265" s="1364"/>
      <c r="E265" s="1364"/>
      <c r="F265" s="1364"/>
      <c r="G265" s="1365"/>
      <c r="H265" s="623">
        <f aca="true" t="shared" si="96" ref="H265:R265">SUM(H262:H264)</f>
        <v>0</v>
      </c>
      <c r="I265" s="623">
        <f t="shared" si="96"/>
        <v>0</v>
      </c>
      <c r="J265" s="623">
        <f t="shared" si="96"/>
        <v>0</v>
      </c>
      <c r="K265" s="732">
        <f t="shared" si="96"/>
        <v>0</v>
      </c>
      <c r="L265" s="732">
        <f t="shared" si="96"/>
        <v>0</v>
      </c>
      <c r="M265" s="732">
        <f t="shared" si="96"/>
        <v>0</v>
      </c>
      <c r="N265" s="732">
        <f t="shared" si="96"/>
        <v>0</v>
      </c>
      <c r="O265" s="732">
        <f t="shared" si="96"/>
        <v>0</v>
      </c>
      <c r="P265" s="732">
        <f t="shared" si="96"/>
        <v>0</v>
      </c>
      <c r="Q265" s="767">
        <f t="shared" si="96"/>
        <v>0</v>
      </c>
      <c r="R265" s="767">
        <f t="shared" si="96"/>
        <v>0</v>
      </c>
      <c r="S265" s="767">
        <f aca="true" t="shared" si="97" ref="S265:X265">SUM(S262:S264)</f>
        <v>0</v>
      </c>
      <c r="T265" s="629">
        <f t="shared" si="97"/>
        <v>0</v>
      </c>
      <c r="U265" s="629">
        <f t="shared" si="97"/>
        <v>0</v>
      </c>
      <c r="V265" s="768">
        <f t="shared" si="97"/>
        <v>0</v>
      </c>
      <c r="W265" s="1045">
        <f t="shared" si="97"/>
        <v>0</v>
      </c>
      <c r="X265" s="630">
        <f t="shared" si="97"/>
        <v>0</v>
      </c>
      <c r="Z265" s="600">
        <f t="shared" si="63"/>
      </c>
      <c r="AA265" s="600">
        <f t="shared" si="64"/>
      </c>
      <c r="AB265" s="600">
        <f t="shared" si="65"/>
      </c>
      <c r="AD265" s="773"/>
      <c r="AE265" s="773"/>
      <c r="AF265" s="773"/>
    </row>
    <row r="266" spans="1:32" s="585" customFormat="1" ht="27.75" customHeight="1">
      <c r="A266" s="643">
        <v>1</v>
      </c>
      <c r="B266" s="644">
        <v>11</v>
      </c>
      <c r="C266" s="644">
        <v>2</v>
      </c>
      <c r="D266" s="645">
        <v>1500</v>
      </c>
      <c r="E266" s="644">
        <v>202</v>
      </c>
      <c r="F266" s="646" t="s">
        <v>218</v>
      </c>
      <c r="G266" s="1217" t="s">
        <v>501</v>
      </c>
      <c r="H266" s="597">
        <v>2575.6</v>
      </c>
      <c r="I266" s="597"/>
      <c r="J266" s="597"/>
      <c r="K266" s="741">
        <f>10000+13000</f>
        <v>23000</v>
      </c>
      <c r="L266" s="741">
        <v>2379</v>
      </c>
      <c r="M266" s="741"/>
      <c r="N266" s="741"/>
      <c r="O266" s="741"/>
      <c r="P266" s="741"/>
      <c r="Q266" s="1029"/>
      <c r="R266" s="1029"/>
      <c r="S266" s="741"/>
      <c r="T266" s="647"/>
      <c r="U266" s="596"/>
      <c r="V266" s="840">
        <f>H266+M266</f>
        <v>2575.6</v>
      </c>
      <c r="W266" s="1046"/>
      <c r="X266" s="608"/>
      <c r="Z266" s="600">
        <f t="shared" si="63"/>
      </c>
      <c r="AA266" s="600">
        <f t="shared" si="64"/>
      </c>
      <c r="AB266" s="600">
        <f t="shared" si="65"/>
      </c>
      <c r="AD266" s="773"/>
      <c r="AE266" s="773"/>
      <c r="AF266" s="773"/>
    </row>
    <row r="267" spans="1:32" s="585" customFormat="1" ht="27.75" customHeight="1">
      <c r="A267" s="404">
        <v>1</v>
      </c>
      <c r="B267" s="590">
        <v>11</v>
      </c>
      <c r="C267" s="590">
        <v>2</v>
      </c>
      <c r="D267" s="981">
        <v>1502</v>
      </c>
      <c r="E267" s="590">
        <v>202</v>
      </c>
      <c r="F267" s="1215" t="s">
        <v>1003</v>
      </c>
      <c r="G267" s="1256" t="s">
        <v>901</v>
      </c>
      <c r="H267" s="1216"/>
      <c r="I267" s="593"/>
      <c r="J267" s="593"/>
      <c r="K267" s="731"/>
      <c r="L267" s="731"/>
      <c r="M267" s="731">
        <f>ENTRATA!K76</f>
        <v>2000</v>
      </c>
      <c r="N267" s="731">
        <f>ENTRATA!L76</f>
        <v>0</v>
      </c>
      <c r="O267" s="731">
        <f>ENTRATA!M76</f>
        <v>0</v>
      </c>
      <c r="P267" s="731">
        <f>ENTRATA!N76</f>
        <v>2000</v>
      </c>
      <c r="Q267" s="731">
        <f>ENTRATA!O76</f>
        <v>0</v>
      </c>
      <c r="R267" s="731">
        <f>ENTRATA!P76</f>
        <v>0</v>
      </c>
      <c r="S267" s="731">
        <f>ENTRATA!Q76</f>
        <v>2000</v>
      </c>
      <c r="T267" s="598"/>
      <c r="U267" s="595"/>
      <c r="V267" s="781">
        <f>H267+M267</f>
        <v>2000</v>
      </c>
      <c r="W267" s="1046"/>
      <c r="X267" s="608"/>
      <c r="Z267" s="600"/>
      <c r="AA267" s="600"/>
      <c r="AB267" s="600"/>
      <c r="AD267" s="773"/>
      <c r="AE267" s="773"/>
      <c r="AF267" s="773"/>
    </row>
    <row r="268" spans="1:32" s="585" customFormat="1" ht="27.75" customHeight="1">
      <c r="A268" s="415">
        <v>1</v>
      </c>
      <c r="B268" s="602">
        <v>11</v>
      </c>
      <c r="C268" s="602">
        <v>2</v>
      </c>
      <c r="D268" s="603">
        <v>1505</v>
      </c>
      <c r="E268" s="602">
        <v>202</v>
      </c>
      <c r="F268" s="546" t="s">
        <v>1003</v>
      </c>
      <c r="G268" s="655" t="s">
        <v>747</v>
      </c>
      <c r="H268" s="604">
        <v>133</v>
      </c>
      <c r="I268" s="604"/>
      <c r="J268" s="604"/>
      <c r="K268" s="728"/>
      <c r="L268" s="728"/>
      <c r="M268" s="728"/>
      <c r="N268" s="728"/>
      <c r="O268" s="728"/>
      <c r="P268" s="728"/>
      <c r="Q268" s="777"/>
      <c r="R268" s="777"/>
      <c r="S268" s="728"/>
      <c r="T268" s="607"/>
      <c r="U268" s="606"/>
      <c r="V268" s="781">
        <f>H268+M268</f>
        <v>133</v>
      </c>
      <c r="W268" s="1046"/>
      <c r="X268" s="608"/>
      <c r="Z268" s="600">
        <f t="shared" si="63"/>
      </c>
      <c r="AA268" s="600"/>
      <c r="AB268" s="600"/>
      <c r="AD268" s="773"/>
      <c r="AE268" s="773"/>
      <c r="AF268" s="773"/>
    </row>
    <row r="269" spans="1:32" s="585" customFormat="1" ht="27.75" customHeight="1" hidden="1">
      <c r="A269" s="469">
        <v>1</v>
      </c>
      <c r="B269" s="632">
        <v>11</v>
      </c>
      <c r="C269" s="632">
        <v>2</v>
      </c>
      <c r="D269" s="639">
        <v>1520</v>
      </c>
      <c r="E269" s="632">
        <v>205</v>
      </c>
      <c r="F269" s="514"/>
      <c r="G269" s="655" t="s">
        <v>709</v>
      </c>
      <c r="H269" s="640"/>
      <c r="I269" s="640"/>
      <c r="J269" s="640"/>
      <c r="K269" s="740"/>
      <c r="L269" s="740"/>
      <c r="M269" s="740"/>
      <c r="N269" s="740"/>
      <c r="O269" s="740"/>
      <c r="P269" s="740"/>
      <c r="Q269" s="935"/>
      <c r="R269" s="935"/>
      <c r="S269" s="740"/>
      <c r="T269" s="641"/>
      <c r="U269" s="621"/>
      <c r="V269" s="781">
        <f>H269+M269</f>
        <v>0</v>
      </c>
      <c r="W269" s="1046"/>
      <c r="X269" s="608"/>
      <c r="Z269" s="600">
        <f t="shared" si="63"/>
      </c>
      <c r="AA269" s="600">
        <f>IF(W269&gt;(H269+P269+Q269),"ERRORE","")</f>
      </c>
      <c r="AB269" s="600">
        <f>IF(X269&gt;(H269+S269+T269),"ERRORE","")</f>
      </c>
      <c r="AD269" s="773"/>
      <c r="AE269" s="773"/>
      <c r="AF269" s="773"/>
    </row>
    <row r="270" spans="1:32" s="585" customFormat="1" ht="27.75" customHeight="1" thickBot="1">
      <c r="A270" s="1360" t="s">
        <v>43</v>
      </c>
      <c r="B270" s="1361"/>
      <c r="C270" s="1361"/>
      <c r="D270" s="1361"/>
      <c r="E270" s="1361"/>
      <c r="F270" s="1361"/>
      <c r="G270" s="1362"/>
      <c r="H270" s="623">
        <f aca="true" t="shared" si="98" ref="H270:V270">SUM(H266:H269)</f>
        <v>2708.6</v>
      </c>
      <c r="I270" s="623">
        <f t="shared" si="98"/>
        <v>0</v>
      </c>
      <c r="J270" s="623">
        <f t="shared" si="98"/>
        <v>0</v>
      </c>
      <c r="K270" s="732">
        <f t="shared" si="98"/>
        <v>23000</v>
      </c>
      <c r="L270" s="732">
        <f t="shared" si="98"/>
        <v>2379</v>
      </c>
      <c r="M270" s="732">
        <f t="shared" si="98"/>
        <v>2000</v>
      </c>
      <c r="N270" s="732">
        <f t="shared" si="98"/>
        <v>0</v>
      </c>
      <c r="O270" s="732">
        <f t="shared" si="98"/>
        <v>0</v>
      </c>
      <c r="P270" s="732">
        <f t="shared" si="98"/>
        <v>2000</v>
      </c>
      <c r="Q270" s="732">
        <f t="shared" si="98"/>
        <v>0</v>
      </c>
      <c r="R270" s="732">
        <f t="shared" si="98"/>
        <v>0</v>
      </c>
      <c r="S270" s="732">
        <f t="shared" si="98"/>
        <v>2000</v>
      </c>
      <c r="T270" s="623">
        <f t="shared" si="98"/>
        <v>0</v>
      </c>
      <c r="U270" s="629">
        <f t="shared" si="98"/>
        <v>0</v>
      </c>
      <c r="V270" s="845">
        <f t="shared" si="98"/>
        <v>4708.6</v>
      </c>
      <c r="W270" s="1045">
        <f>SUM(W266)</f>
        <v>0</v>
      </c>
      <c r="X270" s="630">
        <f>SUM(X266)</f>
        <v>0</v>
      </c>
      <c r="Z270" s="600">
        <f t="shared" si="63"/>
      </c>
      <c r="AA270" s="600">
        <f t="shared" si="64"/>
      </c>
      <c r="AB270" s="600">
        <f t="shared" si="65"/>
      </c>
      <c r="AD270" s="773"/>
      <c r="AE270" s="773"/>
      <c r="AF270" s="773"/>
    </row>
    <row r="271" spans="1:32" s="853" customFormat="1" ht="21" customHeight="1" thickBot="1">
      <c r="A271" s="1336" t="s">
        <v>30</v>
      </c>
      <c r="B271" s="1337"/>
      <c r="C271" s="1337"/>
      <c r="D271" s="1337"/>
      <c r="E271" s="1337"/>
      <c r="F271" s="1337"/>
      <c r="G271" s="1338"/>
      <c r="H271" s="738">
        <f aca="true" t="shared" si="99" ref="H271:X271">H261+H265+H270</f>
        <v>59910.63</v>
      </c>
      <c r="I271" s="738" t="e">
        <f t="shared" si="99"/>
        <v>#REF!</v>
      </c>
      <c r="J271" s="738" t="e">
        <f t="shared" si="99"/>
        <v>#REF!</v>
      </c>
      <c r="K271" s="738">
        <f t="shared" si="99"/>
        <v>123000</v>
      </c>
      <c r="L271" s="738">
        <f t="shared" si="99"/>
        <v>44708.71</v>
      </c>
      <c r="M271" s="738">
        <f t="shared" si="99"/>
        <v>52000</v>
      </c>
      <c r="N271" s="738">
        <f t="shared" si="99"/>
        <v>0</v>
      </c>
      <c r="O271" s="738">
        <f t="shared" si="99"/>
        <v>0</v>
      </c>
      <c r="P271" s="738">
        <f t="shared" si="99"/>
        <v>2000</v>
      </c>
      <c r="Q271" s="738">
        <f t="shared" si="99"/>
        <v>0</v>
      </c>
      <c r="R271" s="738">
        <f t="shared" si="99"/>
        <v>0</v>
      </c>
      <c r="S271" s="738">
        <f t="shared" si="99"/>
        <v>52000</v>
      </c>
      <c r="T271" s="738">
        <f t="shared" si="99"/>
        <v>0</v>
      </c>
      <c r="U271" s="1078">
        <f t="shared" si="99"/>
        <v>0</v>
      </c>
      <c r="V271" s="738">
        <f t="shared" si="99"/>
        <v>111910.63</v>
      </c>
      <c r="W271" s="1016">
        <f t="shared" si="99"/>
        <v>0</v>
      </c>
      <c r="X271" s="738">
        <f t="shared" si="99"/>
        <v>0</v>
      </c>
      <c r="Z271" s="1283">
        <f t="shared" si="63"/>
      </c>
      <c r="AA271" s="788">
        <f>IF(W271&gt;(H271+P271+Q271),"ERRORE","")</f>
      </c>
      <c r="AB271" s="788">
        <f>IF(X271&gt;(H271+S271+T271),"ERRORE","")</f>
      </c>
      <c r="AD271" s="854"/>
      <c r="AF271" s="854"/>
    </row>
    <row r="272" spans="1:32" s="589" customFormat="1" ht="21" customHeight="1" thickBot="1">
      <c r="A272" s="1368" t="s">
        <v>44</v>
      </c>
      <c r="B272" s="1369"/>
      <c r="C272" s="1369"/>
      <c r="D272" s="1369"/>
      <c r="E272" s="1369"/>
      <c r="F272" s="1369"/>
      <c r="G272" s="1370"/>
      <c r="H272" s="1382"/>
      <c r="I272" s="1383"/>
      <c r="J272" s="1383"/>
      <c r="K272" s="1383"/>
      <c r="L272" s="1383"/>
      <c r="M272" s="1383"/>
      <c r="N272" s="1383"/>
      <c r="O272" s="1383"/>
      <c r="P272" s="1383"/>
      <c r="Q272" s="1383"/>
      <c r="R272" s="1383"/>
      <c r="S272" s="1383"/>
      <c r="T272" s="1383"/>
      <c r="U272" s="1383"/>
      <c r="V272" s="1383"/>
      <c r="W272" s="1383"/>
      <c r="X272" s="1384"/>
      <c r="Z272" s="1398"/>
      <c r="AA272" s="1399"/>
      <c r="AB272" s="1399"/>
      <c r="AD272" s="853"/>
      <c r="AE272" s="853"/>
      <c r="AF272" s="862"/>
    </row>
    <row r="273" spans="1:32" s="585" customFormat="1" ht="27.75" customHeight="1">
      <c r="A273" s="404">
        <v>4</v>
      </c>
      <c r="B273" s="590">
        <v>2</v>
      </c>
      <c r="C273" s="590">
        <v>2</v>
      </c>
      <c r="D273" s="549">
        <v>1511</v>
      </c>
      <c r="E273" s="591">
        <v>202</v>
      </c>
      <c r="F273" s="545" t="s">
        <v>155</v>
      </c>
      <c r="G273" s="655" t="s">
        <v>937</v>
      </c>
      <c r="H273" s="594">
        <v>5996.3</v>
      </c>
      <c r="I273" s="594"/>
      <c r="J273" s="594"/>
      <c r="K273" s="731">
        <v>15000</v>
      </c>
      <c r="L273" s="731"/>
      <c r="M273" s="731"/>
      <c r="N273" s="921"/>
      <c r="O273" s="921"/>
      <c r="P273" s="921"/>
      <c r="Q273" s="921"/>
      <c r="R273" s="921"/>
      <c r="S273" s="921"/>
      <c r="T273" s="598"/>
      <c r="U273" s="633"/>
      <c r="V273" s="841">
        <f aca="true" t="shared" si="100" ref="V273:V280">H273+M273</f>
        <v>5996.3</v>
      </c>
      <c r="W273" s="656"/>
      <c r="X273" s="608"/>
      <c r="Z273" s="600">
        <f aca="true" t="shared" si="101" ref="Z273:Z280">IF(V273&gt;(H273+M273+N273),"ERRORE","")</f>
      </c>
      <c r="AA273" s="600">
        <f aca="true" t="shared" si="102" ref="AA273:AA280">IF(W273&gt;(H273+P273+Q273),"ERRORE","")</f>
      </c>
      <c r="AB273" s="600">
        <f aca="true" t="shared" si="103" ref="AB273:AB280">IF(X273&gt;(H273+S273+T273),"ERRORE","")</f>
      </c>
      <c r="AD273" s="773"/>
      <c r="AE273" s="773"/>
      <c r="AF273" s="773"/>
    </row>
    <row r="274" spans="1:32" s="585" customFormat="1" ht="27.75" customHeight="1">
      <c r="A274" s="404">
        <v>4</v>
      </c>
      <c r="B274" s="590">
        <v>2</v>
      </c>
      <c r="C274" s="590">
        <v>2</v>
      </c>
      <c r="D274" s="549">
        <v>1512</v>
      </c>
      <c r="E274" s="591">
        <v>202</v>
      </c>
      <c r="F274" s="545" t="s">
        <v>155</v>
      </c>
      <c r="G274" s="655" t="s">
        <v>938</v>
      </c>
      <c r="H274" s="594">
        <v>2683.78</v>
      </c>
      <c r="I274" s="594"/>
      <c r="J274" s="594"/>
      <c r="K274" s="731">
        <v>10000</v>
      </c>
      <c r="L274" s="731"/>
      <c r="M274" s="731"/>
      <c r="N274" s="921"/>
      <c r="O274" s="921"/>
      <c r="P274" s="921"/>
      <c r="Q274" s="921"/>
      <c r="R274" s="921"/>
      <c r="S274" s="921"/>
      <c r="T274" s="598"/>
      <c r="U274" s="633"/>
      <c r="V274" s="778">
        <f t="shared" si="100"/>
        <v>2683.78</v>
      </c>
      <c r="W274" s="656"/>
      <c r="X274" s="608"/>
      <c r="Z274" s="600">
        <f t="shared" si="101"/>
      </c>
      <c r="AA274" s="600">
        <f t="shared" si="102"/>
      </c>
      <c r="AB274" s="600">
        <f t="shared" si="103"/>
      </c>
      <c r="AD274" s="773"/>
      <c r="AE274" s="773"/>
      <c r="AF274" s="773"/>
    </row>
    <row r="275" spans="1:32" s="585" customFormat="1" ht="28.5" customHeight="1">
      <c r="A275" s="404">
        <v>4</v>
      </c>
      <c r="B275" s="590">
        <v>2</v>
      </c>
      <c r="C275" s="590">
        <v>2</v>
      </c>
      <c r="D275" s="923">
        <v>2039</v>
      </c>
      <c r="E275" s="591">
        <v>202</v>
      </c>
      <c r="F275" s="545" t="s">
        <v>155</v>
      </c>
      <c r="G275" s="655" t="s">
        <v>1035</v>
      </c>
      <c r="H275" s="594"/>
      <c r="I275" s="594"/>
      <c r="J275" s="594"/>
      <c r="K275" s="731"/>
      <c r="L275" s="731"/>
      <c r="M275" s="731"/>
      <c r="N275" s="921"/>
      <c r="O275" s="921"/>
      <c r="P275" s="921">
        <v>420000</v>
      </c>
      <c r="Q275" s="921"/>
      <c r="R275" s="921"/>
      <c r="S275" s="921"/>
      <c r="T275" s="598"/>
      <c r="U275" s="633"/>
      <c r="V275" s="778">
        <f t="shared" si="100"/>
        <v>0</v>
      </c>
      <c r="W275" s="656"/>
      <c r="X275" s="608"/>
      <c r="Z275" s="600">
        <f>IF(V275&gt;(H275+M275+N275),"ERRORE","")</f>
      </c>
      <c r="AA275" s="600">
        <f>IF(W275&gt;(H275+P275+Q275),"ERRORE","")</f>
      </c>
      <c r="AB275" s="600">
        <f>IF(X275&gt;(H275+S275+T275),"ERRORE","")</f>
      </c>
      <c r="AD275" s="773"/>
      <c r="AE275" s="773"/>
      <c r="AF275" s="773"/>
    </row>
    <row r="276" spans="1:32" s="585" customFormat="1" ht="27.75" customHeight="1">
      <c r="A276" s="404">
        <v>4</v>
      </c>
      <c r="B276" s="590">
        <v>2</v>
      </c>
      <c r="C276" s="590">
        <v>2</v>
      </c>
      <c r="D276" s="549">
        <v>2042</v>
      </c>
      <c r="E276" s="591">
        <v>202</v>
      </c>
      <c r="F276" s="545" t="s">
        <v>155</v>
      </c>
      <c r="G276" s="655" t="s">
        <v>961</v>
      </c>
      <c r="H276" s="594">
        <v>0</v>
      </c>
      <c r="I276" s="594"/>
      <c r="J276" s="594"/>
      <c r="K276" s="731"/>
      <c r="L276" s="731"/>
      <c r="M276" s="731"/>
      <c r="N276" s="921"/>
      <c r="O276" s="921"/>
      <c r="P276" s="921">
        <v>50000</v>
      </c>
      <c r="Q276" s="921"/>
      <c r="R276" s="921"/>
      <c r="S276" s="921">
        <v>50000</v>
      </c>
      <c r="T276" s="598"/>
      <c r="U276" s="633"/>
      <c r="V276" s="778">
        <f t="shared" si="100"/>
        <v>0</v>
      </c>
      <c r="W276" s="656"/>
      <c r="X276" s="608"/>
      <c r="Z276" s="600">
        <f t="shared" si="101"/>
      </c>
      <c r="AA276" s="600">
        <f t="shared" si="102"/>
      </c>
      <c r="AB276" s="600">
        <f t="shared" si="103"/>
      </c>
      <c r="AD276" s="773"/>
      <c r="AE276" s="773"/>
      <c r="AF276" s="773"/>
    </row>
    <row r="277" spans="1:32" s="585" customFormat="1" ht="27.75" customHeight="1">
      <c r="A277" s="404">
        <v>4</v>
      </c>
      <c r="B277" s="590">
        <v>2</v>
      </c>
      <c r="C277" s="590">
        <v>2</v>
      </c>
      <c r="D277" s="549">
        <v>2044</v>
      </c>
      <c r="E277" s="591">
        <v>202</v>
      </c>
      <c r="F277" s="545" t="s">
        <v>155</v>
      </c>
      <c r="G277" s="655" t="s">
        <v>939</v>
      </c>
      <c r="H277" s="594">
        <v>0</v>
      </c>
      <c r="I277" s="594"/>
      <c r="J277" s="594"/>
      <c r="K277" s="731">
        <v>43400</v>
      </c>
      <c r="L277" s="731"/>
      <c r="M277" s="731"/>
      <c r="N277" s="921"/>
      <c r="O277" s="921"/>
      <c r="P277" s="921"/>
      <c r="Q277" s="921"/>
      <c r="R277" s="921"/>
      <c r="S277" s="921"/>
      <c r="T277" s="598"/>
      <c r="U277" s="633"/>
      <c r="V277" s="778">
        <f t="shared" si="100"/>
        <v>0</v>
      </c>
      <c r="W277" s="656"/>
      <c r="X277" s="608"/>
      <c r="Z277" s="600">
        <f t="shared" si="101"/>
      </c>
      <c r="AA277" s="600">
        <f t="shared" si="102"/>
      </c>
      <c r="AB277" s="600">
        <f t="shared" si="103"/>
      </c>
      <c r="AD277" s="773"/>
      <c r="AE277" s="773"/>
      <c r="AF277" s="773"/>
    </row>
    <row r="278" spans="1:32" s="585" customFormat="1" ht="27.75" customHeight="1">
      <c r="A278" s="404">
        <v>4</v>
      </c>
      <c r="B278" s="590">
        <v>2</v>
      </c>
      <c r="C278" s="590">
        <v>2</v>
      </c>
      <c r="D278" s="549">
        <v>2045</v>
      </c>
      <c r="E278" s="591">
        <v>202</v>
      </c>
      <c r="F278" s="545" t="s">
        <v>155</v>
      </c>
      <c r="G278" s="655" t="s">
        <v>649</v>
      </c>
      <c r="H278" s="594">
        <v>820000</v>
      </c>
      <c r="I278" s="594"/>
      <c r="J278" s="594"/>
      <c r="K278" s="731">
        <v>820000</v>
      </c>
      <c r="L278" s="731"/>
      <c r="M278" s="731"/>
      <c r="N278" s="921"/>
      <c r="O278" s="921"/>
      <c r="P278" s="921"/>
      <c r="Q278" s="921"/>
      <c r="R278" s="921"/>
      <c r="S278" s="731"/>
      <c r="T278" s="598"/>
      <c r="U278" s="633"/>
      <c r="V278" s="778">
        <f t="shared" si="100"/>
        <v>820000</v>
      </c>
      <c r="W278" s="656"/>
      <c r="X278" s="608"/>
      <c r="Z278" s="600">
        <f t="shared" si="101"/>
      </c>
      <c r="AA278" s="600">
        <f t="shared" si="102"/>
      </c>
      <c r="AB278" s="600">
        <f t="shared" si="103"/>
      </c>
      <c r="AD278" s="773"/>
      <c r="AE278" s="773"/>
      <c r="AF278" s="773"/>
    </row>
    <row r="279" spans="1:32" s="585" customFormat="1" ht="27.75" customHeight="1">
      <c r="A279" s="404">
        <v>4</v>
      </c>
      <c r="B279" s="590">
        <v>2</v>
      </c>
      <c r="C279" s="590">
        <v>2</v>
      </c>
      <c r="D279" s="549">
        <v>2046</v>
      </c>
      <c r="E279" s="591">
        <v>202</v>
      </c>
      <c r="F279" s="545" t="s">
        <v>1004</v>
      </c>
      <c r="G279" s="610" t="s">
        <v>944</v>
      </c>
      <c r="H279" s="594">
        <v>2331881.34</v>
      </c>
      <c r="I279" s="594"/>
      <c r="J279" s="594"/>
      <c r="K279" s="731">
        <v>2550000</v>
      </c>
      <c r="L279" s="731"/>
      <c r="M279" s="731"/>
      <c r="N279" s="921"/>
      <c r="O279" s="921"/>
      <c r="P279" s="921"/>
      <c r="Q279" s="921"/>
      <c r="R279" s="921"/>
      <c r="S279" s="731"/>
      <c r="T279" s="598"/>
      <c r="U279" s="599"/>
      <c r="V279" s="778">
        <f t="shared" si="100"/>
        <v>2331881.34</v>
      </c>
      <c r="W279" s="656"/>
      <c r="X279" s="608"/>
      <c r="Z279" s="600">
        <f t="shared" si="101"/>
      </c>
      <c r="AA279" s="600">
        <f t="shared" si="102"/>
      </c>
      <c r="AB279" s="600">
        <f t="shared" si="103"/>
      </c>
      <c r="AD279" s="773"/>
      <c r="AE279" s="773"/>
      <c r="AF279" s="773"/>
    </row>
    <row r="280" spans="1:32" s="585" customFormat="1" ht="27.75" customHeight="1">
      <c r="A280" s="415">
        <v>4</v>
      </c>
      <c r="B280" s="609">
        <v>2</v>
      </c>
      <c r="C280" s="609">
        <v>2</v>
      </c>
      <c r="D280" s="547">
        <v>2047</v>
      </c>
      <c r="E280" s="590">
        <v>201</v>
      </c>
      <c r="F280" s="545" t="s">
        <v>155</v>
      </c>
      <c r="G280" s="610" t="s">
        <v>976</v>
      </c>
      <c r="H280" s="605">
        <v>0</v>
      </c>
      <c r="I280" s="605"/>
      <c r="J280" s="605"/>
      <c r="K280" s="728">
        <v>60000</v>
      </c>
      <c r="L280" s="728"/>
      <c r="M280" s="728"/>
      <c r="N280" s="774"/>
      <c r="O280" s="774"/>
      <c r="P280" s="774"/>
      <c r="Q280" s="774"/>
      <c r="R280" s="774"/>
      <c r="S280" s="728"/>
      <c r="T280" s="607"/>
      <c r="U280" s="608"/>
      <c r="V280" s="778">
        <f t="shared" si="100"/>
        <v>0</v>
      </c>
      <c r="W280" s="656"/>
      <c r="X280" s="608"/>
      <c r="Z280" s="600">
        <f t="shared" si="101"/>
      </c>
      <c r="AA280" s="600">
        <f t="shared" si="102"/>
      </c>
      <c r="AB280" s="600">
        <f t="shared" si="103"/>
      </c>
      <c r="AD280" s="773"/>
      <c r="AE280" s="773"/>
      <c r="AF280" s="773"/>
    </row>
    <row r="281" spans="1:32" s="585" customFormat="1" ht="27.75" customHeight="1">
      <c r="A281" s="1363" t="s">
        <v>502</v>
      </c>
      <c r="B281" s="1364"/>
      <c r="C281" s="1364"/>
      <c r="D281" s="1364"/>
      <c r="E281" s="1364"/>
      <c r="F281" s="1364"/>
      <c r="G281" s="1365"/>
      <c r="H281" s="623">
        <f aca="true" t="shared" si="104" ref="H281:X281">SUM(H273:H280)</f>
        <v>3160561.42</v>
      </c>
      <c r="I281" s="623">
        <f t="shared" si="104"/>
        <v>0</v>
      </c>
      <c r="J281" s="623">
        <f t="shared" si="104"/>
        <v>0</v>
      </c>
      <c r="K281" s="732">
        <f t="shared" si="104"/>
        <v>3498400</v>
      </c>
      <c r="L281" s="732">
        <f t="shared" si="104"/>
        <v>0</v>
      </c>
      <c r="M281" s="732">
        <f t="shared" si="104"/>
        <v>0</v>
      </c>
      <c r="N281" s="623">
        <f t="shared" si="104"/>
        <v>0</v>
      </c>
      <c r="O281" s="623">
        <f t="shared" si="104"/>
        <v>0</v>
      </c>
      <c r="P281" s="623">
        <f t="shared" si="104"/>
        <v>470000</v>
      </c>
      <c r="Q281" s="629">
        <f t="shared" si="104"/>
        <v>0</v>
      </c>
      <c r="R281" s="629">
        <f t="shared" si="104"/>
        <v>0</v>
      </c>
      <c r="S281" s="629">
        <f t="shared" si="104"/>
        <v>50000</v>
      </c>
      <c r="T281" s="629">
        <f t="shared" si="104"/>
        <v>0</v>
      </c>
      <c r="U281" s="629">
        <f t="shared" si="104"/>
        <v>0</v>
      </c>
      <c r="V281" s="768">
        <f t="shared" si="104"/>
        <v>3160561.42</v>
      </c>
      <c r="W281" s="654">
        <f t="shared" si="104"/>
        <v>0</v>
      </c>
      <c r="X281" s="630">
        <f t="shared" si="104"/>
        <v>0</v>
      </c>
      <c r="Z281" s="600">
        <f t="shared" si="63"/>
      </c>
      <c r="AA281" s="600">
        <f t="shared" si="64"/>
      </c>
      <c r="AB281" s="600">
        <f t="shared" si="65"/>
      </c>
      <c r="AD281" s="773"/>
      <c r="AE281" s="773"/>
      <c r="AF281" s="773"/>
    </row>
    <row r="282" spans="1:32" s="585" customFormat="1" ht="27.75" customHeight="1" hidden="1">
      <c r="A282" s="404">
        <v>4</v>
      </c>
      <c r="B282" s="591">
        <v>6</v>
      </c>
      <c r="C282" s="591">
        <v>2</v>
      </c>
      <c r="D282" s="327"/>
      <c r="E282" s="590">
        <v>201</v>
      </c>
      <c r="F282" s="545" t="s">
        <v>179</v>
      </c>
      <c r="G282" s="655" t="s">
        <v>179</v>
      </c>
      <c r="H282" s="593"/>
      <c r="I282" s="593"/>
      <c r="J282" s="593"/>
      <c r="K282" s="731">
        <v>0</v>
      </c>
      <c r="L282" s="731"/>
      <c r="M282" s="731"/>
      <c r="N282" s="595"/>
      <c r="O282" s="595"/>
      <c r="P282" s="595"/>
      <c r="Q282" s="596"/>
      <c r="R282" s="595"/>
      <c r="S282" s="593"/>
      <c r="T282" s="598"/>
      <c r="U282" s="598"/>
      <c r="V282" s="781"/>
      <c r="W282" s="656"/>
      <c r="X282" s="608"/>
      <c r="Z282" s="600">
        <f t="shared" si="63"/>
      </c>
      <c r="AA282" s="600">
        <f t="shared" si="64"/>
      </c>
      <c r="AB282" s="600">
        <f t="shared" si="65"/>
      </c>
      <c r="AD282" s="773"/>
      <c r="AE282" s="773"/>
      <c r="AF282" s="773"/>
    </row>
    <row r="283" spans="1:32" s="585" customFormat="1" ht="27.75" customHeight="1" thickBot="1">
      <c r="A283" s="1363" t="s">
        <v>363</v>
      </c>
      <c r="B283" s="1364"/>
      <c r="C283" s="1364"/>
      <c r="D283" s="1364"/>
      <c r="E283" s="1364"/>
      <c r="F283" s="1364"/>
      <c r="G283" s="1365"/>
      <c r="H283" s="623">
        <f aca="true" t="shared" si="105" ref="H283:X283">SUM(H282:H282)</f>
        <v>0</v>
      </c>
      <c r="I283" s="623">
        <f t="shared" si="105"/>
        <v>0</v>
      </c>
      <c r="J283" s="623">
        <f t="shared" si="105"/>
        <v>0</v>
      </c>
      <c r="K283" s="732">
        <f t="shared" si="105"/>
        <v>0</v>
      </c>
      <c r="L283" s="732">
        <f t="shared" si="105"/>
        <v>0</v>
      </c>
      <c r="M283" s="732">
        <f t="shared" si="105"/>
        <v>0</v>
      </c>
      <c r="N283" s="623">
        <f t="shared" si="105"/>
        <v>0</v>
      </c>
      <c r="O283" s="623">
        <f t="shared" si="105"/>
        <v>0</v>
      </c>
      <c r="P283" s="623">
        <f t="shared" si="105"/>
        <v>0</v>
      </c>
      <c r="Q283" s="629">
        <f t="shared" si="105"/>
        <v>0</v>
      </c>
      <c r="R283" s="629">
        <f t="shared" si="105"/>
        <v>0</v>
      </c>
      <c r="S283" s="629">
        <f t="shared" si="105"/>
        <v>0</v>
      </c>
      <c r="T283" s="629">
        <f t="shared" si="105"/>
        <v>0</v>
      </c>
      <c r="U283" s="629">
        <f t="shared" si="105"/>
        <v>0</v>
      </c>
      <c r="V283" s="842">
        <f t="shared" si="105"/>
        <v>0</v>
      </c>
      <c r="W283" s="654">
        <f t="shared" si="105"/>
        <v>0</v>
      </c>
      <c r="X283" s="630">
        <f t="shared" si="105"/>
        <v>0</v>
      </c>
      <c r="Z283" s="600">
        <f t="shared" si="63"/>
      </c>
      <c r="AA283" s="600">
        <f t="shared" si="64"/>
      </c>
      <c r="AB283" s="600">
        <f t="shared" si="65"/>
      </c>
      <c r="AD283" s="773"/>
      <c r="AE283" s="773"/>
      <c r="AF283" s="773"/>
    </row>
    <row r="284" spans="1:30" s="853" customFormat="1" ht="21" customHeight="1" thickBot="1">
      <c r="A284" s="1336" t="s">
        <v>45</v>
      </c>
      <c r="B284" s="1337"/>
      <c r="C284" s="1337"/>
      <c r="D284" s="1337"/>
      <c r="E284" s="1337"/>
      <c r="F284" s="1337"/>
      <c r="G284" s="1338"/>
      <c r="H284" s="738">
        <f>H281+H283</f>
        <v>3160561.42</v>
      </c>
      <c r="I284" s="738">
        <f aca="true" t="shared" si="106" ref="I284:O284">I281+I283</f>
        <v>0</v>
      </c>
      <c r="J284" s="738">
        <f t="shared" si="106"/>
        <v>0</v>
      </c>
      <c r="K284" s="738">
        <f t="shared" si="106"/>
        <v>3498400</v>
      </c>
      <c r="L284" s="738">
        <f t="shared" si="106"/>
        <v>0</v>
      </c>
      <c r="M284" s="738">
        <f t="shared" si="106"/>
        <v>0</v>
      </c>
      <c r="N284" s="738">
        <f t="shared" si="106"/>
        <v>0</v>
      </c>
      <c r="O284" s="738">
        <f t="shared" si="106"/>
        <v>0</v>
      </c>
      <c r="P284" s="738">
        <f aca="true" t="shared" si="107" ref="P284:X284">P281+P283</f>
        <v>470000</v>
      </c>
      <c r="Q284" s="738">
        <f t="shared" si="107"/>
        <v>0</v>
      </c>
      <c r="R284" s="738">
        <f t="shared" si="107"/>
        <v>0</v>
      </c>
      <c r="S284" s="738">
        <f t="shared" si="107"/>
        <v>50000</v>
      </c>
      <c r="T284" s="738">
        <f t="shared" si="107"/>
        <v>0</v>
      </c>
      <c r="U284" s="738">
        <f t="shared" si="107"/>
        <v>0</v>
      </c>
      <c r="V284" s="738">
        <f t="shared" si="107"/>
        <v>3160561.42</v>
      </c>
      <c r="W284" s="738">
        <f t="shared" si="107"/>
        <v>0</v>
      </c>
      <c r="X284" s="738">
        <f t="shared" si="107"/>
        <v>0</v>
      </c>
      <c r="Z284" s="788">
        <f>IF(V284&gt;(H284+M284+N284),"ERRORE","")</f>
      </c>
      <c r="AA284" s="788">
        <f>IF(W284&gt;(H284+P284+Q284),"ERRORE","")</f>
      </c>
      <c r="AB284" s="788">
        <f>IF(X284&gt;(H284+S284+T284),"ERRORE","")</f>
      </c>
      <c r="AD284" s="854"/>
    </row>
    <row r="285" spans="1:32" s="589" customFormat="1" ht="21" customHeight="1" thickBot="1">
      <c r="A285" s="1368" t="s">
        <v>47</v>
      </c>
      <c r="B285" s="1369"/>
      <c r="C285" s="1369"/>
      <c r="D285" s="1369"/>
      <c r="E285" s="1369"/>
      <c r="F285" s="1369"/>
      <c r="G285" s="1370"/>
      <c r="H285" s="1382"/>
      <c r="I285" s="1383"/>
      <c r="J285" s="1383"/>
      <c r="K285" s="1383"/>
      <c r="L285" s="1383"/>
      <c r="M285" s="1383"/>
      <c r="N285" s="1383"/>
      <c r="O285" s="1383"/>
      <c r="P285" s="1383"/>
      <c r="Q285" s="1383"/>
      <c r="R285" s="1383"/>
      <c r="S285" s="1383"/>
      <c r="T285" s="1383"/>
      <c r="U285" s="1383"/>
      <c r="V285" s="1383"/>
      <c r="W285" s="1383"/>
      <c r="X285" s="1384"/>
      <c r="Z285" s="600">
        <f>IF(V285&gt;(H285+M285+N285),"ERRORE","")</f>
      </c>
      <c r="AA285" s="600">
        <f>IF(W285&gt;(H285+P285+Q285),"ERRORE","")</f>
      </c>
      <c r="AB285" s="600">
        <f>IF(X285&gt;(H285+S285+T285),"ERRORE","")</f>
      </c>
      <c r="AD285" s="853"/>
      <c r="AE285" s="853"/>
      <c r="AF285" s="853"/>
    </row>
    <row r="286" spans="1:32" s="585" customFormat="1" ht="27.75" customHeight="1" hidden="1">
      <c r="A286" s="643">
        <v>5</v>
      </c>
      <c r="B286" s="644">
        <v>2</v>
      </c>
      <c r="C286" s="644">
        <v>2</v>
      </c>
      <c r="D286" s="645">
        <v>1536</v>
      </c>
      <c r="E286" s="644">
        <v>201</v>
      </c>
      <c r="F286" s="646" t="s">
        <v>220</v>
      </c>
      <c r="G286" s="657" t="s">
        <v>219</v>
      </c>
      <c r="H286" s="597"/>
      <c r="I286" s="597"/>
      <c r="J286" s="597"/>
      <c r="K286" s="741"/>
      <c r="L286" s="741"/>
      <c r="M286" s="741"/>
      <c r="N286" s="597"/>
      <c r="O286" s="597"/>
      <c r="P286" s="597"/>
      <c r="Q286" s="647"/>
      <c r="R286" s="647"/>
      <c r="S286" s="597"/>
      <c r="T286" s="596"/>
      <c r="U286" s="633"/>
      <c r="V286" s="832"/>
      <c r="W286" s="656"/>
      <c r="X286" s="608"/>
      <c r="Z286" s="600">
        <f>IF(V286&gt;(H286+M286+N286),"ERRORE","")</f>
      </c>
      <c r="AA286" s="600">
        <f>IF(W286&gt;(H286+P286+Q286),"ERRORE","")</f>
      </c>
      <c r="AB286" s="600">
        <f>IF(X286&gt;(H286+S286+T286),"ERRORE","")</f>
      </c>
      <c r="AD286" s="773"/>
      <c r="AE286" s="773"/>
      <c r="AF286" s="773"/>
    </row>
    <row r="287" spans="1:32" s="585" customFormat="1" ht="27.75" customHeight="1">
      <c r="A287" s="469">
        <v>5</v>
      </c>
      <c r="B287" s="632">
        <v>2</v>
      </c>
      <c r="C287" s="632">
        <v>2</v>
      </c>
      <c r="D287" s="639">
        <v>1537</v>
      </c>
      <c r="E287" s="632">
        <v>202</v>
      </c>
      <c r="F287" s="514" t="s">
        <v>266</v>
      </c>
      <c r="G287" s="655" t="s">
        <v>219</v>
      </c>
      <c r="H287" s="640">
        <v>2261.6</v>
      </c>
      <c r="I287" s="640"/>
      <c r="J287" s="640"/>
      <c r="K287" s="740"/>
      <c r="L287" s="740"/>
      <c r="M287" s="740"/>
      <c r="N287" s="640"/>
      <c r="O287" s="640"/>
      <c r="P287" s="640"/>
      <c r="Q287" s="641"/>
      <c r="R287" s="641"/>
      <c r="S287" s="640"/>
      <c r="T287" s="641"/>
      <c r="U287" s="636"/>
      <c r="V287" s="839">
        <f>H287+M287</f>
        <v>2261.6</v>
      </c>
      <c r="W287" s="656"/>
      <c r="X287" s="608"/>
      <c r="Z287" s="600">
        <f t="shared" si="63"/>
      </c>
      <c r="AA287" s="600">
        <f t="shared" si="64"/>
      </c>
      <c r="AB287" s="600">
        <f t="shared" si="65"/>
      </c>
      <c r="AD287" s="773"/>
      <c r="AE287" s="773"/>
      <c r="AF287" s="773"/>
    </row>
    <row r="288" spans="1:28" ht="27" customHeight="1" thickBot="1">
      <c r="A288" s="1360" t="s">
        <v>46</v>
      </c>
      <c r="B288" s="1361"/>
      <c r="C288" s="1361"/>
      <c r="D288" s="1361"/>
      <c r="E288" s="1361"/>
      <c r="F288" s="1361"/>
      <c r="G288" s="1362"/>
      <c r="H288" s="624">
        <f aca="true" t="shared" si="108" ref="H288:R288">SUM(H286:H287)</f>
        <v>2261.6</v>
      </c>
      <c r="I288" s="624">
        <f t="shared" si="108"/>
        <v>0</v>
      </c>
      <c r="J288" s="624">
        <f t="shared" si="108"/>
        <v>0</v>
      </c>
      <c r="K288" s="730">
        <f t="shared" si="108"/>
        <v>0</v>
      </c>
      <c r="L288" s="730">
        <f t="shared" si="108"/>
        <v>0</v>
      </c>
      <c r="M288" s="730">
        <f t="shared" si="108"/>
        <v>0</v>
      </c>
      <c r="N288" s="624">
        <f t="shared" si="108"/>
        <v>0</v>
      </c>
      <c r="O288" s="624">
        <f t="shared" si="108"/>
        <v>0</v>
      </c>
      <c r="P288" s="624">
        <f t="shared" si="108"/>
        <v>0</v>
      </c>
      <c r="Q288" s="625">
        <f t="shared" si="108"/>
        <v>0</v>
      </c>
      <c r="R288" s="625">
        <f t="shared" si="108"/>
        <v>0</v>
      </c>
      <c r="S288" s="625">
        <f aca="true" t="shared" si="109" ref="S288:X288">SUM(S286:S287)</f>
        <v>0</v>
      </c>
      <c r="T288" s="625">
        <f t="shared" si="109"/>
        <v>0</v>
      </c>
      <c r="U288" s="625">
        <f t="shared" si="109"/>
        <v>0</v>
      </c>
      <c r="V288" s="833">
        <f t="shared" si="109"/>
        <v>2261.6</v>
      </c>
      <c r="W288" s="658">
        <f t="shared" si="109"/>
        <v>0</v>
      </c>
      <c r="X288" s="626">
        <f t="shared" si="109"/>
        <v>0</v>
      </c>
      <c r="Z288" s="600">
        <f t="shared" si="63"/>
      </c>
      <c r="AA288" s="600">
        <f t="shared" si="64"/>
      </c>
      <c r="AB288" s="600">
        <f t="shared" si="65"/>
      </c>
    </row>
    <row r="289" spans="1:30" s="853" customFormat="1" ht="21" customHeight="1" thickBot="1">
      <c r="A289" s="1336" t="s">
        <v>48</v>
      </c>
      <c r="B289" s="1337"/>
      <c r="C289" s="1337"/>
      <c r="D289" s="1337"/>
      <c r="E289" s="1337"/>
      <c r="F289" s="1337"/>
      <c r="G289" s="1338"/>
      <c r="H289" s="738">
        <f aca="true" t="shared" si="110" ref="H289:X289">H288</f>
        <v>2261.6</v>
      </c>
      <c r="I289" s="738">
        <f t="shared" si="110"/>
        <v>0</v>
      </c>
      <c r="J289" s="738">
        <f t="shared" si="110"/>
        <v>0</v>
      </c>
      <c r="K289" s="738">
        <f t="shared" si="110"/>
        <v>0</v>
      </c>
      <c r="L289" s="738">
        <f t="shared" si="110"/>
        <v>0</v>
      </c>
      <c r="M289" s="738">
        <f t="shared" si="110"/>
        <v>0</v>
      </c>
      <c r="N289" s="738">
        <f t="shared" si="110"/>
        <v>0</v>
      </c>
      <c r="O289" s="738">
        <f t="shared" si="110"/>
        <v>0</v>
      </c>
      <c r="P289" s="738">
        <f t="shared" si="110"/>
        <v>0</v>
      </c>
      <c r="Q289" s="738">
        <f t="shared" si="110"/>
        <v>0</v>
      </c>
      <c r="R289" s="738">
        <f t="shared" si="110"/>
        <v>0</v>
      </c>
      <c r="S289" s="738">
        <f t="shared" si="110"/>
        <v>0</v>
      </c>
      <c r="T289" s="738">
        <f t="shared" si="110"/>
        <v>0</v>
      </c>
      <c r="U289" s="738">
        <f t="shared" si="110"/>
        <v>0</v>
      </c>
      <c r="V289" s="738">
        <f t="shared" si="110"/>
        <v>2261.6</v>
      </c>
      <c r="W289" s="738">
        <f t="shared" si="110"/>
        <v>0</v>
      </c>
      <c r="X289" s="738">
        <f t="shared" si="110"/>
        <v>0</v>
      </c>
      <c r="Z289" s="788">
        <f aca="true" t="shared" si="111" ref="Z289:Z294">IF(V289&gt;(H289+M289+N289),"ERRORE","")</f>
      </c>
      <c r="AA289" s="788">
        <f>IF(W289&gt;(H289+P289+Q289),"ERRORE","")</f>
      </c>
      <c r="AB289" s="788">
        <f>IF(X289&gt;(H289+S289+T289),"ERRORE","")</f>
      </c>
      <c r="AD289" s="854"/>
    </row>
    <row r="290" spans="1:32" s="589" customFormat="1" ht="21" customHeight="1" thickBot="1">
      <c r="A290" s="1368" t="s">
        <v>49</v>
      </c>
      <c r="B290" s="1369"/>
      <c r="C290" s="1369"/>
      <c r="D290" s="1369"/>
      <c r="E290" s="1369"/>
      <c r="F290" s="1369"/>
      <c r="G290" s="1370"/>
      <c r="H290" s="1382"/>
      <c r="I290" s="1383"/>
      <c r="J290" s="1383"/>
      <c r="K290" s="1383"/>
      <c r="L290" s="1383"/>
      <c r="M290" s="1383"/>
      <c r="N290" s="1383"/>
      <c r="O290" s="1383"/>
      <c r="P290" s="1383"/>
      <c r="Q290" s="1383"/>
      <c r="R290" s="1383"/>
      <c r="S290" s="1383"/>
      <c r="T290" s="1383"/>
      <c r="U290" s="1383"/>
      <c r="V290" s="1383"/>
      <c r="W290" s="1383"/>
      <c r="X290" s="1384"/>
      <c r="Z290" s="600">
        <f t="shared" si="111"/>
      </c>
      <c r="AA290" s="600">
        <f>IF(W290&gt;(H290+P290+Q290),"ERRORE","")</f>
      </c>
      <c r="AB290" s="600">
        <f>IF(X290&gt;(H290+S290+T290),"ERRORE","")</f>
      </c>
      <c r="AD290" s="853"/>
      <c r="AE290" s="853"/>
      <c r="AF290" s="853"/>
    </row>
    <row r="291" spans="1:32" s="585" customFormat="1" ht="27.75" customHeight="1">
      <c r="A291" s="759">
        <v>6</v>
      </c>
      <c r="B291" s="1219">
        <v>1</v>
      </c>
      <c r="C291" s="1219">
        <v>2</v>
      </c>
      <c r="D291" s="1287" t="s">
        <v>1005</v>
      </c>
      <c r="E291" s="1219">
        <v>202</v>
      </c>
      <c r="F291" s="761" t="s">
        <v>1008</v>
      </c>
      <c r="G291" s="762" t="s">
        <v>964</v>
      </c>
      <c r="H291" s="765"/>
      <c r="I291" s="765"/>
      <c r="J291" s="765"/>
      <c r="K291" s="764"/>
      <c r="L291" s="764"/>
      <c r="M291" s="764"/>
      <c r="N291" s="766"/>
      <c r="O291" s="766"/>
      <c r="P291" s="1225">
        <v>100000</v>
      </c>
      <c r="Q291" s="766"/>
      <c r="R291" s="766"/>
      <c r="S291" s="765"/>
      <c r="T291" s="1220"/>
      <c r="U291" s="868"/>
      <c r="V291" s="832">
        <f>H291+M291</f>
        <v>0</v>
      </c>
      <c r="W291" s="656"/>
      <c r="X291" s="608"/>
      <c r="Z291" s="600">
        <f t="shared" si="111"/>
      </c>
      <c r="AA291" s="600">
        <f>IF(W291&gt;(H291+P291+Q291),"ERRORE","")</f>
      </c>
      <c r="AB291" s="600">
        <f>IF(X291&gt;(H291+S291+T291),"ERRORE","")</f>
      </c>
      <c r="AD291" s="773"/>
      <c r="AE291" s="773"/>
      <c r="AF291" s="773"/>
    </row>
    <row r="292" spans="1:32" s="585" customFormat="1" ht="27.75" customHeight="1">
      <c r="A292" s="404">
        <v>6</v>
      </c>
      <c r="B292" s="590">
        <v>1</v>
      </c>
      <c r="C292" s="590">
        <v>2</v>
      </c>
      <c r="D292" s="1224" t="s">
        <v>917</v>
      </c>
      <c r="E292" s="590">
        <v>202</v>
      </c>
      <c r="F292" s="545" t="s">
        <v>1008</v>
      </c>
      <c r="G292" s="655" t="s">
        <v>918</v>
      </c>
      <c r="H292" s="593">
        <v>90649.78</v>
      </c>
      <c r="I292" s="593"/>
      <c r="J292" s="593"/>
      <c r="K292" s="731"/>
      <c r="L292" s="731">
        <v>120000</v>
      </c>
      <c r="M292" s="731"/>
      <c r="N292" s="595"/>
      <c r="O292" s="595"/>
      <c r="P292" s="595"/>
      <c r="Q292" s="595"/>
      <c r="R292" s="595"/>
      <c r="S292" s="593"/>
      <c r="T292" s="598"/>
      <c r="U292" s="599"/>
      <c r="V292" s="781">
        <f>H292+M292</f>
        <v>90649.78</v>
      </c>
      <c r="W292" s="656"/>
      <c r="X292" s="608"/>
      <c r="Z292" s="600">
        <f t="shared" si="111"/>
      </c>
      <c r="AA292" s="600">
        <f>IF(W292&gt;(H292+P292+Q292),"ERRORE","")</f>
      </c>
      <c r="AB292" s="600">
        <f>IF(X292&gt;(H292+S292+T292),"ERRORE","")</f>
      </c>
      <c r="AD292" s="773"/>
      <c r="AE292" s="773"/>
      <c r="AF292" s="773"/>
    </row>
    <row r="293" spans="1:32" s="585" customFormat="1" ht="27.75" customHeight="1">
      <c r="A293" s="404">
        <v>6</v>
      </c>
      <c r="B293" s="590">
        <v>1</v>
      </c>
      <c r="C293" s="590">
        <v>2</v>
      </c>
      <c r="D293" s="1224" t="s">
        <v>1030</v>
      </c>
      <c r="E293" s="590">
        <v>202</v>
      </c>
      <c r="F293" s="545" t="s">
        <v>1008</v>
      </c>
      <c r="G293" s="655" t="s">
        <v>1031</v>
      </c>
      <c r="H293" s="593"/>
      <c r="I293" s="593"/>
      <c r="J293" s="593"/>
      <c r="K293" s="731"/>
      <c r="L293" s="731"/>
      <c r="M293" s="731">
        <v>100000</v>
      </c>
      <c r="N293" s="921"/>
      <c r="O293" s="921"/>
      <c r="P293" s="921">
        <v>50000</v>
      </c>
      <c r="Q293" s="595"/>
      <c r="R293" s="595"/>
      <c r="S293" s="593"/>
      <c r="T293" s="598"/>
      <c r="U293" s="599"/>
      <c r="V293" s="781">
        <f>H293+M293</f>
        <v>100000</v>
      </c>
      <c r="W293" s="656"/>
      <c r="X293" s="608"/>
      <c r="Z293" s="600">
        <f t="shared" si="111"/>
      </c>
      <c r="AA293" s="600"/>
      <c r="AB293" s="600"/>
      <c r="AD293" s="773"/>
      <c r="AE293" s="773"/>
      <c r="AF293" s="773"/>
    </row>
    <row r="294" spans="1:32" s="585" customFormat="1" ht="27.75" customHeight="1">
      <c r="A294" s="404">
        <v>6</v>
      </c>
      <c r="B294" s="590">
        <v>1</v>
      </c>
      <c r="C294" s="590">
        <v>2</v>
      </c>
      <c r="D294" s="923">
        <v>2107</v>
      </c>
      <c r="E294" s="590">
        <v>202</v>
      </c>
      <c r="F294" s="545" t="s">
        <v>1008</v>
      </c>
      <c r="G294" s="655" t="s">
        <v>943</v>
      </c>
      <c r="H294" s="593">
        <v>9808.8</v>
      </c>
      <c r="I294" s="593"/>
      <c r="J294" s="593"/>
      <c r="K294" s="731">
        <v>10000</v>
      </c>
      <c r="L294" s="731"/>
      <c r="M294" s="593"/>
      <c r="N294" s="921"/>
      <c r="O294" s="921"/>
      <c r="P294" s="731"/>
      <c r="Q294" s="921"/>
      <c r="R294" s="921"/>
      <c r="S294" s="731"/>
      <c r="T294" s="598"/>
      <c r="U294" s="599"/>
      <c r="V294" s="781">
        <f>H294+M294</f>
        <v>9808.8</v>
      </c>
      <c r="W294" s="656"/>
      <c r="X294" s="608"/>
      <c r="Z294" s="600">
        <f t="shared" si="111"/>
      </c>
      <c r="AA294" s="600" t="e">
        <f>IF(W294&gt;(H294+#REF!+Q294),"ERRORE","")</f>
        <v>#REF!</v>
      </c>
      <c r="AB294" s="600">
        <f>IF(X294&gt;(H294+S294+T294),"ERRORE","")</f>
      </c>
      <c r="AD294" s="773"/>
      <c r="AE294" s="773"/>
      <c r="AF294" s="773"/>
    </row>
    <row r="295" spans="1:32" s="589" customFormat="1" ht="27.75" customHeight="1">
      <c r="A295" s="1400" t="s">
        <v>168</v>
      </c>
      <c r="B295" s="1401"/>
      <c r="C295" s="1401"/>
      <c r="D295" s="1401"/>
      <c r="E295" s="1401"/>
      <c r="F295" s="1401"/>
      <c r="G295" s="1402"/>
      <c r="H295" s="745">
        <f aca="true" t="shared" si="112" ref="H295:V295">SUM(H291:H294)</f>
        <v>100458.58</v>
      </c>
      <c r="I295" s="745">
        <f t="shared" si="112"/>
        <v>0</v>
      </c>
      <c r="J295" s="745">
        <f t="shared" si="112"/>
        <v>0</v>
      </c>
      <c r="K295" s="745">
        <f t="shared" si="112"/>
        <v>10000</v>
      </c>
      <c r="L295" s="745">
        <f t="shared" si="112"/>
        <v>120000</v>
      </c>
      <c r="M295" s="745">
        <f t="shared" si="112"/>
        <v>100000</v>
      </c>
      <c r="N295" s="659">
        <f t="shared" si="112"/>
        <v>0</v>
      </c>
      <c r="O295" s="659">
        <f t="shared" si="112"/>
        <v>0</v>
      </c>
      <c r="P295" s="659">
        <f t="shared" si="112"/>
        <v>150000</v>
      </c>
      <c r="Q295" s="659">
        <f t="shared" si="112"/>
        <v>0</v>
      </c>
      <c r="R295" s="659">
        <f t="shared" si="112"/>
        <v>0</v>
      </c>
      <c r="S295" s="659">
        <f t="shared" si="112"/>
        <v>0</v>
      </c>
      <c r="T295" s="659">
        <f t="shared" si="112"/>
        <v>0</v>
      </c>
      <c r="U295" s="629">
        <f t="shared" si="112"/>
        <v>0</v>
      </c>
      <c r="V295" s="768">
        <f t="shared" si="112"/>
        <v>200458.58</v>
      </c>
      <c r="W295" s="660"/>
      <c r="X295" s="661"/>
      <c r="Z295" s="600"/>
      <c r="AA295" s="600"/>
      <c r="AB295" s="600"/>
      <c r="AD295" s="853"/>
      <c r="AE295" s="853"/>
      <c r="AF295" s="853"/>
    </row>
    <row r="296" spans="1:32" s="585" customFormat="1" ht="27.75" customHeight="1" hidden="1">
      <c r="A296" s="415">
        <v>6</v>
      </c>
      <c r="B296" s="590">
        <v>2</v>
      </c>
      <c r="C296" s="602">
        <v>2</v>
      </c>
      <c r="D296" s="603"/>
      <c r="E296" s="602"/>
      <c r="F296" s="546"/>
      <c r="G296" s="601"/>
      <c r="H296" s="593"/>
      <c r="I296" s="593"/>
      <c r="J296" s="593"/>
      <c r="K296" s="731"/>
      <c r="L296" s="731"/>
      <c r="M296" s="731"/>
      <c r="N296" s="595"/>
      <c r="O296" s="595"/>
      <c r="P296" s="595"/>
      <c r="Q296" s="595"/>
      <c r="R296" s="595"/>
      <c r="S296" s="593"/>
      <c r="T296" s="607"/>
      <c r="U296" s="608"/>
      <c r="V296" s="781"/>
      <c r="W296" s="656"/>
      <c r="X296" s="608"/>
      <c r="Z296" s="600">
        <f aca="true" t="shared" si="113" ref="Z296:Z383">IF(V296&gt;(H296+M296+N296),"ERRORE","")</f>
      </c>
      <c r="AA296" s="600">
        <f aca="true" t="shared" si="114" ref="AA296:AA383">IF(W296&gt;(H296+P296+Q296),"ERRORE","")</f>
      </c>
      <c r="AB296" s="600">
        <f aca="true" t="shared" si="115" ref="AB296:AB383">IF(X296&gt;(H296+S296+T296),"ERRORE","")</f>
      </c>
      <c r="AD296" s="773"/>
      <c r="AE296" s="773"/>
      <c r="AF296" s="773"/>
    </row>
    <row r="297" spans="1:32" s="585" customFormat="1" ht="27.75" customHeight="1" hidden="1">
      <c r="A297" s="415">
        <v>6</v>
      </c>
      <c r="B297" s="590">
        <v>2</v>
      </c>
      <c r="C297" s="602">
        <v>2</v>
      </c>
      <c r="D297" s="603"/>
      <c r="E297" s="602"/>
      <c r="F297" s="546"/>
      <c r="G297" s="662"/>
      <c r="H297" s="604"/>
      <c r="I297" s="604"/>
      <c r="J297" s="604"/>
      <c r="K297" s="728"/>
      <c r="L297" s="728"/>
      <c r="M297" s="728"/>
      <c r="N297" s="606"/>
      <c r="O297" s="606"/>
      <c r="P297" s="606"/>
      <c r="Q297" s="606"/>
      <c r="R297" s="606"/>
      <c r="S297" s="604"/>
      <c r="T297" s="607"/>
      <c r="U297" s="608"/>
      <c r="V297" s="778"/>
      <c r="W297" s="656"/>
      <c r="X297" s="608"/>
      <c r="Z297" s="600">
        <f t="shared" si="113"/>
      </c>
      <c r="AA297" s="600">
        <f t="shared" si="114"/>
      </c>
      <c r="AB297" s="600">
        <f t="shared" si="115"/>
      </c>
      <c r="AD297" s="773"/>
      <c r="AE297" s="773"/>
      <c r="AF297" s="773"/>
    </row>
    <row r="298" spans="1:32" s="585" customFormat="1" ht="27.75" customHeight="1" hidden="1">
      <c r="A298" s="415">
        <v>6</v>
      </c>
      <c r="B298" s="590">
        <v>2</v>
      </c>
      <c r="C298" s="602">
        <v>2</v>
      </c>
      <c r="D298" s="603"/>
      <c r="E298" s="602"/>
      <c r="F298" s="546"/>
      <c r="G298" s="610"/>
      <c r="H298" s="605"/>
      <c r="I298" s="605"/>
      <c r="J298" s="605"/>
      <c r="K298" s="728"/>
      <c r="L298" s="728"/>
      <c r="M298" s="728"/>
      <c r="N298" s="606"/>
      <c r="O298" s="606"/>
      <c r="P298" s="606"/>
      <c r="Q298" s="606"/>
      <c r="R298" s="606"/>
      <c r="S298" s="604"/>
      <c r="T298" s="607"/>
      <c r="U298" s="608"/>
      <c r="V298" s="778"/>
      <c r="W298" s="656"/>
      <c r="X298" s="608"/>
      <c r="Z298" s="600">
        <f t="shared" si="113"/>
      </c>
      <c r="AA298" s="600">
        <f t="shared" si="114"/>
      </c>
      <c r="AB298" s="600">
        <f t="shared" si="115"/>
      </c>
      <c r="AD298" s="773"/>
      <c r="AE298" s="773"/>
      <c r="AF298" s="773"/>
    </row>
    <row r="299" spans="1:32" s="585" customFormat="1" ht="27.75" customHeight="1" hidden="1">
      <c r="A299" s="415">
        <v>6</v>
      </c>
      <c r="B299" s="590">
        <v>2</v>
      </c>
      <c r="C299" s="602">
        <v>2</v>
      </c>
      <c r="D299" s="603"/>
      <c r="E299" s="590"/>
      <c r="F299" s="545"/>
      <c r="G299" s="662"/>
      <c r="H299" s="605"/>
      <c r="I299" s="605"/>
      <c r="J299" s="605"/>
      <c r="K299" s="728"/>
      <c r="L299" s="728"/>
      <c r="M299" s="728"/>
      <c r="N299" s="606"/>
      <c r="O299" s="606"/>
      <c r="P299" s="606"/>
      <c r="Q299" s="606"/>
      <c r="R299" s="606"/>
      <c r="S299" s="604"/>
      <c r="T299" s="607"/>
      <c r="U299" s="608"/>
      <c r="V299" s="778"/>
      <c r="W299" s="656"/>
      <c r="X299" s="608"/>
      <c r="Z299" s="600">
        <f t="shared" si="113"/>
      </c>
      <c r="AA299" s="600">
        <f t="shared" si="114"/>
      </c>
      <c r="AB299" s="600">
        <f t="shared" si="115"/>
      </c>
      <c r="AD299" s="773"/>
      <c r="AE299" s="773"/>
      <c r="AF299" s="773"/>
    </row>
    <row r="300" spans="1:32" s="585" customFormat="1" ht="27.75" customHeight="1" hidden="1">
      <c r="A300" s="415">
        <v>6</v>
      </c>
      <c r="B300" s="590">
        <v>2</v>
      </c>
      <c r="C300" s="602">
        <v>2</v>
      </c>
      <c r="D300" s="603"/>
      <c r="E300" s="590"/>
      <c r="F300" s="545"/>
      <c r="G300" s="655"/>
      <c r="H300" s="604"/>
      <c r="I300" s="604"/>
      <c r="J300" s="604"/>
      <c r="K300" s="728"/>
      <c r="L300" s="728"/>
      <c r="M300" s="728"/>
      <c r="N300" s="606"/>
      <c r="O300" s="606"/>
      <c r="P300" s="606"/>
      <c r="Q300" s="606"/>
      <c r="R300" s="606"/>
      <c r="S300" s="604"/>
      <c r="T300" s="607"/>
      <c r="U300" s="608"/>
      <c r="V300" s="778"/>
      <c r="W300" s="656"/>
      <c r="X300" s="608"/>
      <c r="Z300" s="600">
        <f t="shared" si="113"/>
      </c>
      <c r="AA300" s="600">
        <f t="shared" si="114"/>
      </c>
      <c r="AB300" s="600">
        <f t="shared" si="115"/>
      </c>
      <c r="AD300" s="773"/>
      <c r="AE300" s="773"/>
      <c r="AF300" s="773"/>
    </row>
    <row r="301" spans="1:32" s="585" customFormat="1" ht="27.75" customHeight="1" hidden="1">
      <c r="A301" s="453">
        <v>6</v>
      </c>
      <c r="B301" s="590">
        <v>2</v>
      </c>
      <c r="C301" s="611">
        <v>2</v>
      </c>
      <c r="D301" s="619"/>
      <c r="E301" s="632"/>
      <c r="F301" s="545"/>
      <c r="G301" s="655"/>
      <c r="H301" s="615"/>
      <c r="I301" s="615"/>
      <c r="J301" s="615"/>
      <c r="K301" s="729"/>
      <c r="L301" s="729"/>
      <c r="M301" s="729"/>
      <c r="N301" s="616"/>
      <c r="O301" s="616"/>
      <c r="P301" s="616"/>
      <c r="Q301" s="616"/>
      <c r="R301" s="616"/>
      <c r="S301" s="615"/>
      <c r="T301" s="617"/>
      <c r="U301" s="618"/>
      <c r="V301" s="801"/>
      <c r="W301" s="656"/>
      <c r="X301" s="608"/>
      <c r="Z301" s="600">
        <f t="shared" si="113"/>
      </c>
      <c r="AA301" s="600">
        <f t="shared" si="114"/>
      </c>
      <c r="AB301" s="600">
        <f t="shared" si="115"/>
      </c>
      <c r="AD301" s="773"/>
      <c r="AE301" s="773"/>
      <c r="AF301" s="773"/>
    </row>
    <row r="302" spans="1:32" s="585" customFormat="1" ht="27.75" customHeight="1" hidden="1">
      <c r="A302" s="453">
        <v>6</v>
      </c>
      <c r="B302" s="590">
        <v>2</v>
      </c>
      <c r="C302" s="611">
        <v>2</v>
      </c>
      <c r="D302" s="619"/>
      <c r="E302" s="611"/>
      <c r="F302" s="612"/>
      <c r="G302" s="627"/>
      <c r="H302" s="615"/>
      <c r="I302" s="615"/>
      <c r="J302" s="615"/>
      <c r="K302" s="729"/>
      <c r="L302" s="729"/>
      <c r="M302" s="729"/>
      <c r="N302" s="616"/>
      <c r="O302" s="616"/>
      <c r="P302" s="616"/>
      <c r="Q302" s="622"/>
      <c r="R302" s="616"/>
      <c r="S302" s="615"/>
      <c r="T302" s="617"/>
      <c r="U302" s="634"/>
      <c r="V302" s="1044"/>
      <c r="W302" s="656"/>
      <c r="X302" s="608"/>
      <c r="Z302" s="600">
        <f t="shared" si="113"/>
      </c>
      <c r="AA302" s="600">
        <f t="shared" si="114"/>
      </c>
      <c r="AB302" s="600">
        <f t="shared" si="115"/>
      </c>
      <c r="AD302" s="773"/>
      <c r="AE302" s="773"/>
      <c r="AF302" s="773"/>
    </row>
    <row r="303" spans="1:28" ht="27" customHeight="1" thickBot="1">
      <c r="A303" s="1400" t="s">
        <v>51</v>
      </c>
      <c r="B303" s="1401"/>
      <c r="C303" s="1401"/>
      <c r="D303" s="1401"/>
      <c r="E303" s="1401"/>
      <c r="F303" s="1401"/>
      <c r="G303" s="1402"/>
      <c r="H303" s="623">
        <f>SUM(H296:H302)</f>
        <v>0</v>
      </c>
      <c r="I303" s="623">
        <f aca="true" t="shared" si="116" ref="I303:V303">SUM(I296:I302)</f>
        <v>0</v>
      </c>
      <c r="J303" s="623">
        <f t="shared" si="116"/>
        <v>0</v>
      </c>
      <c r="K303" s="732">
        <f t="shared" si="116"/>
        <v>0</v>
      </c>
      <c r="L303" s="732">
        <f t="shared" si="116"/>
        <v>0</v>
      </c>
      <c r="M303" s="623">
        <f t="shared" si="116"/>
        <v>0</v>
      </c>
      <c r="N303" s="623">
        <f t="shared" si="116"/>
        <v>0</v>
      </c>
      <c r="O303" s="623">
        <f t="shared" si="116"/>
        <v>0</v>
      </c>
      <c r="P303" s="623">
        <f t="shared" si="116"/>
        <v>0</v>
      </c>
      <c r="Q303" s="623">
        <f t="shared" si="116"/>
        <v>0</v>
      </c>
      <c r="R303" s="623">
        <f t="shared" si="116"/>
        <v>0</v>
      </c>
      <c r="S303" s="623">
        <f t="shared" si="116"/>
        <v>0</v>
      </c>
      <c r="T303" s="623">
        <f t="shared" si="116"/>
        <v>0</v>
      </c>
      <c r="U303" s="629">
        <f t="shared" si="116"/>
        <v>0</v>
      </c>
      <c r="V303" s="1043">
        <f t="shared" si="116"/>
        <v>0</v>
      </c>
      <c r="W303" s="658">
        <f>SUM(W291:W302)</f>
        <v>0</v>
      </c>
      <c r="X303" s="626">
        <f>SUM(X291:X302)</f>
        <v>0</v>
      </c>
      <c r="Z303" s="600">
        <f t="shared" si="113"/>
      </c>
      <c r="AA303" s="600">
        <f t="shared" si="114"/>
      </c>
      <c r="AB303" s="600">
        <f t="shared" si="115"/>
      </c>
    </row>
    <row r="304" spans="1:32" s="853" customFormat="1" ht="21" customHeight="1" thickBot="1">
      <c r="A304" s="1336" t="s">
        <v>52</v>
      </c>
      <c r="B304" s="1337"/>
      <c r="C304" s="1337"/>
      <c r="D304" s="1337"/>
      <c r="E304" s="1337"/>
      <c r="F304" s="1337"/>
      <c r="G304" s="1338"/>
      <c r="H304" s="738">
        <f>H295+H303</f>
        <v>100458.58</v>
      </c>
      <c r="I304" s="738">
        <f aca="true" t="shared" si="117" ref="I304:S304">I295+I303</f>
        <v>0</v>
      </c>
      <c r="J304" s="738">
        <f t="shared" si="117"/>
        <v>0</v>
      </c>
      <c r="K304" s="738">
        <f t="shared" si="117"/>
        <v>10000</v>
      </c>
      <c r="L304" s="738">
        <f t="shared" si="117"/>
        <v>120000</v>
      </c>
      <c r="M304" s="738">
        <f t="shared" si="117"/>
        <v>100000</v>
      </c>
      <c r="N304" s="738">
        <f t="shared" si="117"/>
        <v>0</v>
      </c>
      <c r="O304" s="738">
        <f t="shared" si="117"/>
        <v>0</v>
      </c>
      <c r="P304" s="738">
        <f t="shared" si="117"/>
        <v>150000</v>
      </c>
      <c r="Q304" s="738">
        <f t="shared" si="117"/>
        <v>0</v>
      </c>
      <c r="R304" s="738">
        <f t="shared" si="117"/>
        <v>0</v>
      </c>
      <c r="S304" s="738">
        <f t="shared" si="117"/>
        <v>0</v>
      </c>
      <c r="T304" s="738">
        <f>T295+T303</f>
        <v>0</v>
      </c>
      <c r="U304" s="738">
        <f>U295+U303</f>
        <v>0</v>
      </c>
      <c r="V304" s="738">
        <f>V295+V303</f>
        <v>200458.58</v>
      </c>
      <c r="W304" s="738">
        <f>W303</f>
        <v>0</v>
      </c>
      <c r="X304" s="738">
        <f>X303</f>
        <v>0</v>
      </c>
      <c r="Z304" s="788">
        <f t="shared" si="113"/>
      </c>
      <c r="AA304" s="788">
        <f t="shared" si="114"/>
      </c>
      <c r="AB304" s="788">
        <f t="shared" si="115"/>
      </c>
      <c r="AD304" s="854"/>
      <c r="AF304" s="854"/>
    </row>
    <row r="305" spans="1:32" s="589" customFormat="1" ht="21" customHeight="1" thickBot="1">
      <c r="A305" s="1368" t="s">
        <v>53</v>
      </c>
      <c r="B305" s="1369"/>
      <c r="C305" s="1369"/>
      <c r="D305" s="1369"/>
      <c r="E305" s="1369"/>
      <c r="F305" s="1369"/>
      <c r="G305" s="1370"/>
      <c r="H305" s="1382"/>
      <c r="I305" s="1383"/>
      <c r="J305" s="1383"/>
      <c r="K305" s="1383"/>
      <c r="L305" s="1383"/>
      <c r="M305" s="1383"/>
      <c r="N305" s="1383"/>
      <c r="O305" s="1383"/>
      <c r="P305" s="1383"/>
      <c r="Q305" s="1383"/>
      <c r="R305" s="1383"/>
      <c r="S305" s="1383"/>
      <c r="T305" s="1383"/>
      <c r="U305" s="1383"/>
      <c r="V305" s="1383"/>
      <c r="W305" s="1383"/>
      <c r="X305" s="1384"/>
      <c r="Z305" s="600">
        <f>IF(V305&gt;(H305+M305+N305),"ERRORE","")</f>
      </c>
      <c r="AA305" s="600">
        <f>IF(W305&gt;(H305+P305+Q305),"ERRORE","")</f>
      </c>
      <c r="AB305" s="600">
        <f>IF(X305&gt;(H305+S305+T305),"ERRORE","")</f>
      </c>
      <c r="AD305" s="853"/>
      <c r="AE305" s="853"/>
      <c r="AF305" s="862"/>
    </row>
    <row r="306" spans="1:32" s="585" customFormat="1" ht="27.75" customHeight="1">
      <c r="A306" s="404">
        <v>8</v>
      </c>
      <c r="B306" s="590">
        <v>1</v>
      </c>
      <c r="C306" s="590">
        <v>2</v>
      </c>
      <c r="D306" s="549">
        <v>1524</v>
      </c>
      <c r="E306" s="590">
        <v>202</v>
      </c>
      <c r="F306" s="545" t="s">
        <v>157</v>
      </c>
      <c r="G306" s="655" t="s">
        <v>919</v>
      </c>
      <c r="H306" s="594">
        <v>18796.26</v>
      </c>
      <c r="I306" s="594"/>
      <c r="J306" s="594"/>
      <c r="K306" s="731">
        <v>12000</v>
      </c>
      <c r="L306" s="731">
        <v>17732.56</v>
      </c>
      <c r="M306" s="731"/>
      <c r="N306" s="921"/>
      <c r="O306" s="921"/>
      <c r="P306" s="1094"/>
      <c r="Q306" s="921"/>
      <c r="R306" s="921"/>
      <c r="S306" s="731"/>
      <c r="T306" s="598"/>
      <c r="U306" s="599"/>
      <c r="V306" s="781">
        <f>H306+M306</f>
        <v>18796.26</v>
      </c>
      <c r="W306" s="656"/>
      <c r="X306" s="608"/>
      <c r="Z306" s="600">
        <f>IF(V306&gt;(H306+M306+N306),"ERRORE","")</f>
      </c>
      <c r="AA306" s="600">
        <f>IF(W306&gt;(H306+M306+Q306),"ERRORE","")</f>
      </c>
      <c r="AB306" s="600">
        <f>IF(X306&gt;(H306+S306+T306),"ERRORE","")</f>
      </c>
      <c r="AD306" s="773"/>
      <c r="AE306" s="773"/>
      <c r="AF306" s="773"/>
    </row>
    <row r="307" spans="1:32" s="585" customFormat="1" ht="27.75" customHeight="1">
      <c r="A307" s="404">
        <v>8</v>
      </c>
      <c r="B307" s="590">
        <v>1</v>
      </c>
      <c r="C307" s="590">
        <v>2</v>
      </c>
      <c r="D307" s="549">
        <v>1525</v>
      </c>
      <c r="E307" s="590">
        <v>202</v>
      </c>
      <c r="F307" s="545" t="s">
        <v>157</v>
      </c>
      <c r="G307" s="655" t="s">
        <v>948</v>
      </c>
      <c r="H307" s="594">
        <v>1916.06</v>
      </c>
      <c r="I307" s="594"/>
      <c r="J307" s="594"/>
      <c r="K307" s="731"/>
      <c r="L307" s="731"/>
      <c r="M307" s="731"/>
      <c r="N307" s="921"/>
      <c r="O307" s="921"/>
      <c r="P307" s="1100"/>
      <c r="Q307" s="921"/>
      <c r="R307" s="921"/>
      <c r="S307" s="731"/>
      <c r="T307" s="598"/>
      <c r="U307" s="599"/>
      <c r="V307" s="781">
        <f>H307+M307</f>
        <v>1916.06</v>
      </c>
      <c r="W307" s="656"/>
      <c r="X307" s="608"/>
      <c r="Z307" s="600">
        <f>IF(V307&gt;(H307+M307+N307),"ERRORE","")</f>
      </c>
      <c r="AA307" s="600"/>
      <c r="AB307" s="600"/>
      <c r="AD307" s="773"/>
      <c r="AE307" s="773"/>
      <c r="AF307" s="773"/>
    </row>
    <row r="308" spans="1:32" s="585" customFormat="1" ht="27.75" customHeight="1">
      <c r="A308" s="404">
        <v>8</v>
      </c>
      <c r="B308" s="590">
        <v>1</v>
      </c>
      <c r="C308" s="590">
        <v>2</v>
      </c>
      <c r="D308" s="327">
        <v>2137</v>
      </c>
      <c r="E308" s="590">
        <v>202</v>
      </c>
      <c r="F308" s="545" t="s">
        <v>157</v>
      </c>
      <c r="G308" s="655" t="s">
        <v>956</v>
      </c>
      <c r="H308" s="594">
        <v>0</v>
      </c>
      <c r="I308" s="594"/>
      <c r="J308" s="594"/>
      <c r="K308" s="731"/>
      <c r="L308" s="731"/>
      <c r="M308" s="731">
        <v>50000</v>
      </c>
      <c r="N308" s="921"/>
      <c r="O308" s="921"/>
      <c r="P308" s="921"/>
      <c r="Q308" s="921"/>
      <c r="R308" s="921"/>
      <c r="S308" s="731"/>
      <c r="T308" s="598"/>
      <c r="U308" s="599"/>
      <c r="V308" s="781">
        <f>H308+M308</f>
        <v>50000</v>
      </c>
      <c r="W308" s="656"/>
      <c r="X308" s="608"/>
      <c r="Z308" s="600">
        <f>IF(V308&gt;(H308+M308+N308),"ERRORE","")</f>
      </c>
      <c r="AA308" s="600">
        <f>IF(W308&gt;(H308+P308+Q308),"ERRORE","")</f>
      </c>
      <c r="AB308" s="600">
        <f>IF(X308&gt;(H308+S308+T308),"ERRORE","")</f>
      </c>
      <c r="AD308" s="773"/>
      <c r="AE308" s="773"/>
      <c r="AF308" s="773"/>
    </row>
    <row r="309" spans="1:32" s="585" customFormat="1" ht="27.75" customHeight="1">
      <c r="A309" s="415">
        <v>8</v>
      </c>
      <c r="B309" s="602">
        <v>1</v>
      </c>
      <c r="C309" s="602">
        <v>2</v>
      </c>
      <c r="D309" s="546">
        <v>2211</v>
      </c>
      <c r="E309" s="609">
        <v>205</v>
      </c>
      <c r="F309" s="546" t="s">
        <v>130</v>
      </c>
      <c r="G309" s="610" t="s">
        <v>129</v>
      </c>
      <c r="H309" s="605">
        <v>47405.08</v>
      </c>
      <c r="I309" s="605"/>
      <c r="J309" s="605"/>
      <c r="K309" s="728"/>
      <c r="L309" s="728">
        <v>50103.8</v>
      </c>
      <c r="M309" s="728"/>
      <c r="N309" s="774"/>
      <c r="O309" s="774"/>
      <c r="P309" s="774"/>
      <c r="Q309" s="774"/>
      <c r="R309" s="774"/>
      <c r="S309" s="728"/>
      <c r="T309" s="607"/>
      <c r="U309" s="634"/>
      <c r="V309" s="781">
        <f>H309+M309</f>
        <v>47405.08</v>
      </c>
      <c r="W309" s="656"/>
      <c r="X309" s="608"/>
      <c r="Z309" s="600">
        <f t="shared" si="113"/>
      </c>
      <c r="AA309" s="600">
        <f t="shared" si="114"/>
      </c>
      <c r="AB309" s="600">
        <f t="shared" si="115"/>
      </c>
      <c r="AD309" s="773"/>
      <c r="AE309" s="773"/>
      <c r="AF309" s="773"/>
    </row>
    <row r="310" spans="1:28" ht="30.75" customHeight="1" thickBot="1">
      <c r="A310" s="1403" t="s">
        <v>264</v>
      </c>
      <c r="B310" s="1401"/>
      <c r="C310" s="1401"/>
      <c r="D310" s="1401"/>
      <c r="E310" s="1401"/>
      <c r="F310" s="1401"/>
      <c r="G310" s="1402"/>
      <c r="H310" s="623">
        <f aca="true" t="shared" si="118" ref="H310:X310">SUM(H306:H309)</f>
        <v>68117.4</v>
      </c>
      <c r="I310" s="623">
        <f t="shared" si="118"/>
        <v>0</v>
      </c>
      <c r="J310" s="623">
        <f t="shared" si="118"/>
        <v>0</v>
      </c>
      <c r="K310" s="730">
        <f t="shared" si="118"/>
        <v>12000</v>
      </c>
      <c r="L310" s="730">
        <f t="shared" si="118"/>
        <v>67836.36</v>
      </c>
      <c r="M310" s="730">
        <f>SUM(M306:M309)</f>
        <v>50000</v>
      </c>
      <c r="N310" s="624">
        <f t="shared" si="118"/>
        <v>0</v>
      </c>
      <c r="O310" s="624">
        <f t="shared" si="118"/>
        <v>0</v>
      </c>
      <c r="P310" s="624">
        <f t="shared" si="118"/>
        <v>0</v>
      </c>
      <c r="Q310" s="625">
        <f t="shared" si="118"/>
        <v>0</v>
      </c>
      <c r="R310" s="625">
        <f t="shared" si="118"/>
        <v>0</v>
      </c>
      <c r="S310" s="625">
        <f t="shared" si="118"/>
        <v>0</v>
      </c>
      <c r="T310" s="625">
        <f t="shared" si="118"/>
        <v>0</v>
      </c>
      <c r="U310" s="625">
        <f t="shared" si="118"/>
        <v>0</v>
      </c>
      <c r="V310" s="837">
        <f t="shared" si="118"/>
        <v>118117.40000000001</v>
      </c>
      <c r="W310" s="658">
        <f t="shared" si="118"/>
        <v>0</v>
      </c>
      <c r="X310" s="626">
        <f t="shared" si="118"/>
        <v>0</v>
      </c>
      <c r="Z310" s="600">
        <f t="shared" si="113"/>
      </c>
      <c r="AA310" s="600">
        <f t="shared" si="114"/>
      </c>
      <c r="AB310" s="600">
        <f t="shared" si="115"/>
      </c>
    </row>
    <row r="311" spans="1:32" s="853" customFormat="1" ht="21" customHeight="1" thickBot="1">
      <c r="A311" s="1336" t="s">
        <v>60</v>
      </c>
      <c r="B311" s="1337"/>
      <c r="C311" s="1337"/>
      <c r="D311" s="1337"/>
      <c r="E311" s="1337"/>
      <c r="F311" s="1337"/>
      <c r="G311" s="1338"/>
      <c r="H311" s="738">
        <f>H310</f>
        <v>68117.4</v>
      </c>
      <c r="I311" s="738">
        <f aca="true" t="shared" si="119" ref="I311:O311">I310</f>
        <v>0</v>
      </c>
      <c r="J311" s="738">
        <f t="shared" si="119"/>
        <v>0</v>
      </c>
      <c r="K311" s="738">
        <f t="shared" si="119"/>
        <v>12000</v>
      </c>
      <c r="L311" s="738">
        <f t="shared" si="119"/>
        <v>67836.36</v>
      </c>
      <c r="M311" s="738">
        <f t="shared" si="119"/>
        <v>50000</v>
      </c>
      <c r="N311" s="738">
        <f t="shared" si="119"/>
        <v>0</v>
      </c>
      <c r="O311" s="738">
        <f t="shared" si="119"/>
        <v>0</v>
      </c>
      <c r="P311" s="738">
        <f aca="true" t="shared" si="120" ref="P311:X311">P310</f>
        <v>0</v>
      </c>
      <c r="Q311" s="738">
        <f t="shared" si="120"/>
        <v>0</v>
      </c>
      <c r="R311" s="738">
        <f t="shared" si="120"/>
        <v>0</v>
      </c>
      <c r="S311" s="738">
        <f t="shared" si="120"/>
        <v>0</v>
      </c>
      <c r="T311" s="738">
        <f t="shared" si="120"/>
        <v>0</v>
      </c>
      <c r="U311" s="738">
        <f t="shared" si="120"/>
        <v>0</v>
      </c>
      <c r="V311" s="738">
        <f t="shared" si="120"/>
        <v>118117.40000000001</v>
      </c>
      <c r="W311" s="738">
        <f t="shared" si="120"/>
        <v>0</v>
      </c>
      <c r="X311" s="738">
        <f t="shared" si="120"/>
        <v>0</v>
      </c>
      <c r="Z311" s="788">
        <f>IF(V311&gt;(H311+M311+N311),"ERRORE","")</f>
      </c>
      <c r="AA311" s="788">
        <f>IF(W311&gt;(H311+P311+Q311),"ERRORE","")</f>
      </c>
      <c r="AB311" s="788">
        <f>IF(X311&gt;(H311+S311+T311),"ERRORE","")</f>
      </c>
      <c r="AD311" s="854"/>
      <c r="AF311" s="854"/>
    </row>
    <row r="312" spans="1:32" s="589" customFormat="1" ht="21" customHeight="1" thickBot="1">
      <c r="A312" s="1368" t="s">
        <v>62</v>
      </c>
      <c r="B312" s="1369"/>
      <c r="C312" s="1369"/>
      <c r="D312" s="1369"/>
      <c r="E312" s="1369"/>
      <c r="F312" s="1369"/>
      <c r="G312" s="1370"/>
      <c r="H312" s="1382"/>
      <c r="I312" s="1383"/>
      <c r="J312" s="1383"/>
      <c r="K312" s="1383"/>
      <c r="L312" s="1383"/>
      <c r="M312" s="1383"/>
      <c r="N312" s="1383"/>
      <c r="O312" s="1383"/>
      <c r="P312" s="1383"/>
      <c r="Q312" s="1383"/>
      <c r="R312" s="1383"/>
      <c r="S312" s="1383"/>
      <c r="T312" s="1383"/>
      <c r="U312" s="1383"/>
      <c r="V312" s="1383"/>
      <c r="W312" s="1383"/>
      <c r="X312" s="1384"/>
      <c r="Z312" s="600">
        <f>IF(V312&gt;(H312+M312+N312),"ERRORE","")</f>
      </c>
      <c r="AA312" s="600">
        <f>IF(W312&gt;(H312+P312+Q312),"ERRORE","")</f>
      </c>
      <c r="AB312" s="600">
        <f>IF(X312&gt;(H312+S312+T312),"ERRORE","")</f>
      </c>
      <c r="AD312" s="853"/>
      <c r="AE312" s="853"/>
      <c r="AF312" s="862"/>
    </row>
    <row r="313" spans="1:32" s="585" customFormat="1" ht="30" customHeight="1" hidden="1">
      <c r="A313" s="759">
        <v>9</v>
      </c>
      <c r="B313" s="760">
        <v>1</v>
      </c>
      <c r="C313" s="760">
        <v>2</v>
      </c>
      <c r="D313" s="761">
        <v>2073</v>
      </c>
      <c r="E313" s="804">
        <v>202</v>
      </c>
      <c r="F313" s="761"/>
      <c r="G313" s="762" t="s">
        <v>651</v>
      </c>
      <c r="H313" s="763"/>
      <c r="I313" s="763"/>
      <c r="J313" s="763"/>
      <c r="K313" s="764"/>
      <c r="L313" s="764"/>
      <c r="M313" s="764"/>
      <c r="N313" s="766"/>
      <c r="O313" s="766"/>
      <c r="P313" s="766"/>
      <c r="Q313" s="766"/>
      <c r="R313" s="766"/>
      <c r="S313" s="765"/>
      <c r="T313" s="766"/>
      <c r="U313" s="868"/>
      <c r="V313" s="832"/>
      <c r="W313" s="656"/>
      <c r="X313" s="608"/>
      <c r="Z313" s="600">
        <f t="shared" si="113"/>
      </c>
      <c r="AA313" s="600">
        <f t="shared" si="114"/>
      </c>
      <c r="AB313" s="600">
        <f t="shared" si="115"/>
      </c>
      <c r="AD313" s="773"/>
      <c r="AE313" s="773"/>
      <c r="AF313" s="773"/>
    </row>
    <row r="314" spans="1:32" s="585" customFormat="1" ht="30" customHeight="1">
      <c r="A314" s="469">
        <v>9</v>
      </c>
      <c r="B314" s="513">
        <v>1</v>
      </c>
      <c r="C314" s="513">
        <v>2</v>
      </c>
      <c r="D314" s="514">
        <v>2103</v>
      </c>
      <c r="E314" s="513">
        <v>204</v>
      </c>
      <c r="F314" s="514" t="s">
        <v>1017</v>
      </c>
      <c r="G314" s="638" t="s">
        <v>609</v>
      </c>
      <c r="H314" s="517">
        <v>10000</v>
      </c>
      <c r="I314" s="517"/>
      <c r="J314" s="517"/>
      <c r="K314" s="740"/>
      <c r="L314" s="740"/>
      <c r="M314" s="740"/>
      <c r="N314" s="637"/>
      <c r="O314" s="637"/>
      <c r="P314" s="637"/>
      <c r="Q314" s="621"/>
      <c r="R314" s="637"/>
      <c r="S314" s="640"/>
      <c r="T314" s="641"/>
      <c r="U314" s="636"/>
      <c r="V314" s="839">
        <f>H314+M314</f>
        <v>10000</v>
      </c>
      <c r="W314" s="656"/>
      <c r="X314" s="608"/>
      <c r="Z314" s="600">
        <f>IF(V314&gt;(H314+M314+N314),"ERRORE","")</f>
      </c>
      <c r="AA314" s="600">
        <f>IF(W314&gt;(H314+P314+Q314),"ERRORE","")</f>
      </c>
      <c r="AB314" s="600">
        <f>IF(X314&gt;(H314+S314+T314),"ERRORE","")</f>
      </c>
      <c r="AD314" s="773"/>
      <c r="AE314" s="773"/>
      <c r="AF314" s="773"/>
    </row>
    <row r="315" spans="1:32" s="585" customFormat="1" ht="25.5" customHeight="1">
      <c r="A315" s="1363" t="s">
        <v>56</v>
      </c>
      <c r="B315" s="1364"/>
      <c r="C315" s="1364"/>
      <c r="D315" s="1364"/>
      <c r="E315" s="1364"/>
      <c r="F315" s="1364"/>
      <c r="G315" s="1365"/>
      <c r="H315" s="732">
        <f>SUM(H313+H314)</f>
        <v>10000</v>
      </c>
      <c r="I315" s="732">
        <f>SUM(I313+I314)</f>
        <v>0</v>
      </c>
      <c r="J315" s="732">
        <f>SUM(J313+J314)</f>
        <v>0</v>
      </c>
      <c r="K315" s="732">
        <f>SUM(K313+K314)</f>
        <v>0</v>
      </c>
      <c r="L315" s="732">
        <f aca="true" t="shared" si="121" ref="L315:V315">SUM(L313+L314)</f>
        <v>0</v>
      </c>
      <c r="M315" s="732">
        <f t="shared" si="121"/>
        <v>0</v>
      </c>
      <c r="N315" s="732">
        <f t="shared" si="121"/>
        <v>0</v>
      </c>
      <c r="O315" s="732">
        <f t="shared" si="121"/>
        <v>0</v>
      </c>
      <c r="P315" s="732">
        <f t="shared" si="121"/>
        <v>0</v>
      </c>
      <c r="Q315" s="732">
        <f t="shared" si="121"/>
        <v>0</v>
      </c>
      <c r="R315" s="732">
        <f t="shared" si="121"/>
        <v>0</v>
      </c>
      <c r="S315" s="732">
        <f t="shared" si="121"/>
        <v>0</v>
      </c>
      <c r="T315" s="732">
        <f t="shared" si="121"/>
        <v>0</v>
      </c>
      <c r="U315" s="767">
        <f t="shared" si="121"/>
        <v>0</v>
      </c>
      <c r="V315" s="768">
        <f t="shared" si="121"/>
        <v>10000</v>
      </c>
      <c r="W315" s="654">
        <f>SUM(W313)</f>
        <v>0</v>
      </c>
      <c r="X315" s="630">
        <f>SUM(X313)</f>
        <v>0</v>
      </c>
      <c r="Z315" s="600">
        <f t="shared" si="113"/>
      </c>
      <c r="AA315" s="600">
        <f t="shared" si="114"/>
      </c>
      <c r="AB315" s="600">
        <f t="shared" si="115"/>
      </c>
      <c r="AD315" s="773"/>
      <c r="AE315" s="773"/>
      <c r="AF315" s="773"/>
    </row>
    <row r="316" spans="1:32" s="585" customFormat="1" ht="27.75" customHeight="1" hidden="1">
      <c r="A316" s="404">
        <v>9</v>
      </c>
      <c r="B316" s="591">
        <v>2</v>
      </c>
      <c r="C316" s="591">
        <v>2</v>
      </c>
      <c r="D316" s="327"/>
      <c r="E316" s="590"/>
      <c r="F316" s="545"/>
      <c r="G316" s="655"/>
      <c r="H316" s="594"/>
      <c r="I316" s="594"/>
      <c r="J316" s="594"/>
      <c r="K316" s="731"/>
      <c r="L316" s="731"/>
      <c r="M316" s="731"/>
      <c r="N316" s="595"/>
      <c r="O316" s="595"/>
      <c r="P316" s="595"/>
      <c r="Q316" s="596"/>
      <c r="R316" s="595"/>
      <c r="S316" s="593"/>
      <c r="T316" s="598"/>
      <c r="U316" s="633"/>
      <c r="V316" s="781"/>
      <c r="W316" s="656"/>
      <c r="X316" s="608"/>
      <c r="Z316" s="600">
        <f t="shared" si="113"/>
      </c>
      <c r="AA316" s="600">
        <f t="shared" si="114"/>
      </c>
      <c r="AB316" s="600">
        <f t="shared" si="115"/>
      </c>
      <c r="AD316" s="773"/>
      <c r="AE316" s="773"/>
      <c r="AF316" s="773"/>
    </row>
    <row r="317" spans="1:32" s="585" customFormat="1" ht="27.75" customHeight="1" hidden="1">
      <c r="A317" s="453"/>
      <c r="B317" s="613"/>
      <c r="C317" s="613"/>
      <c r="D317" s="619"/>
      <c r="E317" s="611"/>
      <c r="F317" s="612"/>
      <c r="G317" s="628"/>
      <c r="H317" s="614"/>
      <c r="I317" s="614"/>
      <c r="J317" s="614"/>
      <c r="K317" s="729"/>
      <c r="L317" s="729"/>
      <c r="M317" s="729"/>
      <c r="N317" s="616"/>
      <c r="O317" s="616"/>
      <c r="P317" s="616"/>
      <c r="Q317" s="622"/>
      <c r="R317" s="616"/>
      <c r="S317" s="615"/>
      <c r="T317" s="617"/>
      <c r="U317" s="634"/>
      <c r="V317" s="801"/>
      <c r="W317" s="656"/>
      <c r="X317" s="608"/>
      <c r="Z317" s="600">
        <f t="shared" si="113"/>
      </c>
      <c r="AA317" s="600">
        <f t="shared" si="114"/>
      </c>
      <c r="AB317" s="600">
        <f t="shared" si="115"/>
      </c>
      <c r="AD317" s="773"/>
      <c r="AE317" s="773"/>
      <c r="AF317" s="773"/>
    </row>
    <row r="318" spans="1:32" s="585" customFormat="1" ht="27" customHeight="1">
      <c r="A318" s="1363" t="s">
        <v>57</v>
      </c>
      <c r="B318" s="1364"/>
      <c r="C318" s="1364"/>
      <c r="D318" s="1364"/>
      <c r="E318" s="1364"/>
      <c r="F318" s="1364"/>
      <c r="G318" s="1365"/>
      <c r="H318" s="623">
        <f aca="true" t="shared" si="122" ref="H318:R318">SUM(H316:H317)</f>
        <v>0</v>
      </c>
      <c r="I318" s="623">
        <f t="shared" si="122"/>
        <v>0</v>
      </c>
      <c r="J318" s="623">
        <f t="shared" si="122"/>
        <v>0</v>
      </c>
      <c r="K318" s="732">
        <f t="shared" si="122"/>
        <v>0</v>
      </c>
      <c r="L318" s="732">
        <f t="shared" si="122"/>
        <v>0</v>
      </c>
      <c r="M318" s="732">
        <f t="shared" si="122"/>
        <v>0</v>
      </c>
      <c r="N318" s="623">
        <f t="shared" si="122"/>
        <v>0</v>
      </c>
      <c r="O318" s="623">
        <f t="shared" si="122"/>
        <v>0</v>
      </c>
      <c r="P318" s="623">
        <f t="shared" si="122"/>
        <v>0</v>
      </c>
      <c r="Q318" s="629">
        <f t="shared" si="122"/>
        <v>0</v>
      </c>
      <c r="R318" s="629">
        <f t="shared" si="122"/>
        <v>0</v>
      </c>
      <c r="S318" s="629">
        <f aca="true" t="shared" si="123" ref="S318:X318">SUM(S316:S317)</f>
        <v>0</v>
      </c>
      <c r="T318" s="629">
        <f t="shared" si="123"/>
        <v>0</v>
      </c>
      <c r="U318" s="630">
        <f t="shared" si="123"/>
        <v>0</v>
      </c>
      <c r="V318" s="768">
        <f t="shared" si="123"/>
        <v>0</v>
      </c>
      <c r="W318" s="654">
        <f t="shared" si="123"/>
        <v>0</v>
      </c>
      <c r="X318" s="630">
        <f t="shared" si="123"/>
        <v>0</v>
      </c>
      <c r="Z318" s="600">
        <f t="shared" si="113"/>
      </c>
      <c r="AA318" s="600">
        <f t="shared" si="114"/>
      </c>
      <c r="AB318" s="600">
        <f t="shared" si="115"/>
      </c>
      <c r="AD318" s="773"/>
      <c r="AE318" s="773"/>
      <c r="AF318" s="773"/>
    </row>
    <row r="319" spans="1:32" s="585" customFormat="1" ht="27.75" customHeight="1">
      <c r="A319" s="415">
        <v>9</v>
      </c>
      <c r="B319" s="609">
        <v>3</v>
      </c>
      <c r="C319" s="609">
        <v>2</v>
      </c>
      <c r="D319" s="546" t="s">
        <v>178</v>
      </c>
      <c r="E319" s="609">
        <v>202</v>
      </c>
      <c r="F319" s="546" t="s">
        <v>155</v>
      </c>
      <c r="G319" s="610" t="s">
        <v>128</v>
      </c>
      <c r="H319" s="605">
        <v>425.4</v>
      </c>
      <c r="I319" s="605"/>
      <c r="J319" s="605"/>
      <c r="K319" s="728"/>
      <c r="L319" s="728"/>
      <c r="M319" s="728"/>
      <c r="N319" s="606"/>
      <c r="O319" s="606"/>
      <c r="P319" s="606"/>
      <c r="Q319" s="606"/>
      <c r="R319" s="606"/>
      <c r="S319" s="604"/>
      <c r="T319" s="607"/>
      <c r="U319" s="663"/>
      <c r="V319" s="778">
        <f>H319+M319</f>
        <v>425.4</v>
      </c>
      <c r="W319" s="656"/>
      <c r="X319" s="608"/>
      <c r="Z319" s="600">
        <f t="shared" si="113"/>
      </c>
      <c r="AA319" s="600">
        <f t="shared" si="114"/>
      </c>
      <c r="AB319" s="600">
        <f t="shared" si="115"/>
      </c>
      <c r="AD319" s="773"/>
      <c r="AE319" s="773"/>
      <c r="AF319" s="773"/>
    </row>
    <row r="320" spans="1:32" s="585" customFormat="1" ht="27" customHeight="1">
      <c r="A320" s="1363" t="s">
        <v>58</v>
      </c>
      <c r="B320" s="1364"/>
      <c r="C320" s="1364"/>
      <c r="D320" s="1364"/>
      <c r="E320" s="1364"/>
      <c r="F320" s="1364"/>
      <c r="G320" s="1365"/>
      <c r="H320" s="623">
        <f aca="true" t="shared" si="124" ref="H320:X320">SUM(H319:H319)</f>
        <v>425.4</v>
      </c>
      <c r="I320" s="623">
        <f t="shared" si="124"/>
        <v>0</v>
      </c>
      <c r="J320" s="623">
        <f t="shared" si="124"/>
        <v>0</v>
      </c>
      <c r="K320" s="732">
        <f t="shared" si="124"/>
        <v>0</v>
      </c>
      <c r="L320" s="732">
        <f t="shared" si="124"/>
        <v>0</v>
      </c>
      <c r="M320" s="732">
        <f t="shared" si="124"/>
        <v>0</v>
      </c>
      <c r="N320" s="623">
        <f t="shared" si="124"/>
        <v>0</v>
      </c>
      <c r="O320" s="623">
        <f t="shared" si="124"/>
        <v>0</v>
      </c>
      <c r="P320" s="623">
        <f t="shared" si="124"/>
        <v>0</v>
      </c>
      <c r="Q320" s="629">
        <f t="shared" si="124"/>
        <v>0</v>
      </c>
      <c r="R320" s="629">
        <f t="shared" si="124"/>
        <v>0</v>
      </c>
      <c r="S320" s="629">
        <f t="shared" si="124"/>
        <v>0</v>
      </c>
      <c r="T320" s="629">
        <f t="shared" si="124"/>
        <v>0</v>
      </c>
      <c r="U320" s="630">
        <f t="shared" si="124"/>
        <v>0</v>
      </c>
      <c r="V320" s="768">
        <f t="shared" si="124"/>
        <v>425.4</v>
      </c>
      <c r="W320" s="654">
        <f t="shared" si="124"/>
        <v>0</v>
      </c>
      <c r="X320" s="630">
        <f t="shared" si="124"/>
        <v>0</v>
      </c>
      <c r="Z320" s="600">
        <f t="shared" si="113"/>
      </c>
      <c r="AA320" s="600">
        <f t="shared" si="114"/>
      </c>
      <c r="AB320" s="600">
        <f t="shared" si="115"/>
      </c>
      <c r="AD320" s="773"/>
      <c r="AE320" s="773"/>
      <c r="AF320" s="773"/>
    </row>
    <row r="321" spans="1:32" s="585" customFormat="1" ht="27.75" customHeight="1" hidden="1">
      <c r="A321" s="469">
        <v>9</v>
      </c>
      <c r="B321" s="513">
        <v>6</v>
      </c>
      <c r="C321" s="513">
        <v>2</v>
      </c>
      <c r="D321" s="664"/>
      <c r="E321" s="664"/>
      <c r="F321" s="514"/>
      <c r="G321" s="638"/>
      <c r="H321" s="517">
        <v>0</v>
      </c>
      <c r="I321" s="517"/>
      <c r="J321" s="517"/>
      <c r="K321" s="740"/>
      <c r="L321" s="740"/>
      <c r="M321" s="740"/>
      <c r="N321" s="637"/>
      <c r="O321" s="637"/>
      <c r="P321" s="637"/>
      <c r="Q321" s="649"/>
      <c r="R321" s="637"/>
      <c r="S321" s="640"/>
      <c r="T321" s="641"/>
      <c r="U321" s="665"/>
      <c r="V321" s="839"/>
      <c r="W321" s="656"/>
      <c r="X321" s="608"/>
      <c r="Z321" s="600">
        <f t="shared" si="113"/>
      </c>
      <c r="AA321" s="600">
        <f t="shared" si="114"/>
      </c>
      <c r="AB321" s="600">
        <f t="shared" si="115"/>
      </c>
      <c r="AD321" s="773"/>
      <c r="AE321" s="773"/>
      <c r="AF321" s="773"/>
    </row>
    <row r="322" spans="1:28" ht="27" customHeight="1" thickBot="1">
      <c r="A322" s="1363" t="s">
        <v>364</v>
      </c>
      <c r="B322" s="1364"/>
      <c r="C322" s="1364"/>
      <c r="D322" s="1364"/>
      <c r="E322" s="1364"/>
      <c r="F322" s="1364"/>
      <c r="G322" s="1365"/>
      <c r="H322" s="623">
        <f aca="true" t="shared" si="125" ref="H322:R322">SUM(H321)</f>
        <v>0</v>
      </c>
      <c r="I322" s="623">
        <f t="shared" si="125"/>
        <v>0</v>
      </c>
      <c r="J322" s="623">
        <f t="shared" si="125"/>
        <v>0</v>
      </c>
      <c r="K322" s="730">
        <f t="shared" si="125"/>
        <v>0</v>
      </c>
      <c r="L322" s="730">
        <f t="shared" si="125"/>
        <v>0</v>
      </c>
      <c r="M322" s="730">
        <f t="shared" si="125"/>
        <v>0</v>
      </c>
      <c r="N322" s="624">
        <f t="shared" si="125"/>
        <v>0</v>
      </c>
      <c r="O322" s="624">
        <f t="shared" si="125"/>
        <v>0</v>
      </c>
      <c r="P322" s="624">
        <f t="shared" si="125"/>
        <v>0</v>
      </c>
      <c r="Q322" s="625">
        <f t="shared" si="125"/>
        <v>0</v>
      </c>
      <c r="R322" s="625">
        <f t="shared" si="125"/>
        <v>0</v>
      </c>
      <c r="S322" s="625">
        <f aca="true" t="shared" si="126" ref="S322:X322">SUM(S321)</f>
        <v>0</v>
      </c>
      <c r="T322" s="625">
        <f t="shared" si="126"/>
        <v>0</v>
      </c>
      <c r="U322" s="626">
        <f t="shared" si="126"/>
        <v>0</v>
      </c>
      <c r="V322" s="837">
        <f t="shared" si="126"/>
        <v>0</v>
      </c>
      <c r="W322" s="658">
        <f t="shared" si="126"/>
        <v>0</v>
      </c>
      <c r="X322" s="626">
        <f t="shared" si="126"/>
        <v>0</v>
      </c>
      <c r="Z322" s="600">
        <f t="shared" si="113"/>
      </c>
      <c r="AA322" s="600">
        <f t="shared" si="114"/>
      </c>
      <c r="AB322" s="600">
        <f t="shared" si="115"/>
      </c>
    </row>
    <row r="323" spans="1:32" s="853" customFormat="1" ht="21" customHeight="1" thickBot="1">
      <c r="A323" s="1336" t="s">
        <v>61</v>
      </c>
      <c r="B323" s="1337"/>
      <c r="C323" s="1337"/>
      <c r="D323" s="1337"/>
      <c r="E323" s="1337"/>
      <c r="F323" s="1337"/>
      <c r="G323" s="1338"/>
      <c r="H323" s="738">
        <f>H315+H318+H320+H322</f>
        <v>10425.4</v>
      </c>
      <c r="I323" s="738">
        <f aca="true" t="shared" si="127" ref="I323:O323">I315+I318+I320+I322</f>
        <v>0</v>
      </c>
      <c r="J323" s="738">
        <f t="shared" si="127"/>
        <v>0</v>
      </c>
      <c r="K323" s="738">
        <f t="shared" si="127"/>
        <v>0</v>
      </c>
      <c r="L323" s="738">
        <f t="shared" si="127"/>
        <v>0</v>
      </c>
      <c r="M323" s="738">
        <f t="shared" si="127"/>
        <v>0</v>
      </c>
      <c r="N323" s="738">
        <f t="shared" si="127"/>
        <v>0</v>
      </c>
      <c r="O323" s="738">
        <f t="shared" si="127"/>
        <v>0</v>
      </c>
      <c r="P323" s="738">
        <f aca="true" t="shared" si="128" ref="P323:X323">P315+P318+P320+P322</f>
        <v>0</v>
      </c>
      <c r="Q323" s="738">
        <f t="shared" si="128"/>
        <v>0</v>
      </c>
      <c r="R323" s="738">
        <f t="shared" si="128"/>
        <v>0</v>
      </c>
      <c r="S323" s="738">
        <f t="shared" si="128"/>
        <v>0</v>
      </c>
      <c r="T323" s="738">
        <f t="shared" si="128"/>
        <v>0</v>
      </c>
      <c r="U323" s="738">
        <f t="shared" si="128"/>
        <v>0</v>
      </c>
      <c r="V323" s="738">
        <f t="shared" si="128"/>
        <v>10425.4</v>
      </c>
      <c r="W323" s="738">
        <f t="shared" si="128"/>
        <v>0</v>
      </c>
      <c r="X323" s="738">
        <f t="shared" si="128"/>
        <v>0</v>
      </c>
      <c r="Z323" s="788">
        <f t="shared" si="113"/>
      </c>
      <c r="AA323" s="788">
        <f t="shared" si="114"/>
      </c>
      <c r="AB323" s="788">
        <f t="shared" si="115"/>
      </c>
      <c r="AD323" s="854"/>
      <c r="AF323" s="854"/>
    </row>
    <row r="324" spans="1:32" s="589" customFormat="1" ht="21" customHeight="1" thickBot="1">
      <c r="A324" s="1368" t="s">
        <v>63</v>
      </c>
      <c r="B324" s="1369"/>
      <c r="C324" s="1369"/>
      <c r="D324" s="1369"/>
      <c r="E324" s="1369"/>
      <c r="F324" s="1369"/>
      <c r="G324" s="1370"/>
      <c r="H324" s="1382"/>
      <c r="I324" s="1383"/>
      <c r="J324" s="1383"/>
      <c r="K324" s="1383"/>
      <c r="L324" s="1383"/>
      <c r="M324" s="1383"/>
      <c r="N324" s="1383"/>
      <c r="O324" s="1383"/>
      <c r="P324" s="1383"/>
      <c r="Q324" s="1383"/>
      <c r="R324" s="1383"/>
      <c r="S324" s="1383"/>
      <c r="T324" s="1383"/>
      <c r="U324" s="1383"/>
      <c r="V324" s="1383"/>
      <c r="W324" s="1383"/>
      <c r="X324" s="1384"/>
      <c r="Z324" s="600">
        <f aca="true" t="shared" si="129" ref="Z324:Z335">IF(V324&gt;(H324+M324+N324),"ERRORE","")</f>
      </c>
      <c r="AA324" s="600">
        <f>IF(W324&gt;(H324+P324+Q324),"ERRORE","")</f>
      </c>
      <c r="AB324" s="600">
        <f>IF(X324&gt;(H324+S324+T324),"ERRORE","")</f>
      </c>
      <c r="AD324" s="853"/>
      <c r="AE324" s="853"/>
      <c r="AF324" s="862"/>
    </row>
    <row r="325" spans="1:32" s="585" customFormat="1" ht="27.75" customHeight="1">
      <c r="A325" s="415">
        <v>10</v>
      </c>
      <c r="B325" s="609">
        <v>5</v>
      </c>
      <c r="C325" s="609">
        <v>2</v>
      </c>
      <c r="D325" s="547">
        <v>1535</v>
      </c>
      <c r="E325" s="609">
        <v>202</v>
      </c>
      <c r="F325" s="546" t="s">
        <v>1018</v>
      </c>
      <c r="G325" s="610" t="s">
        <v>610</v>
      </c>
      <c r="H325" s="605">
        <v>1828.96</v>
      </c>
      <c r="I325" s="605"/>
      <c r="J325" s="605"/>
      <c r="K325" s="728"/>
      <c r="L325" s="728"/>
      <c r="M325" s="728"/>
      <c r="N325" s="774"/>
      <c r="O325" s="774"/>
      <c r="P325" s="774"/>
      <c r="Q325" s="774"/>
      <c r="R325" s="774"/>
      <c r="S325" s="728"/>
      <c r="T325" s="607"/>
      <c r="U325" s="608"/>
      <c r="V325" s="778">
        <f>H325+M325</f>
        <v>1828.96</v>
      </c>
      <c r="W325" s="656"/>
      <c r="X325" s="608"/>
      <c r="Z325" s="600">
        <f t="shared" si="129"/>
      </c>
      <c r="AA325" s="600">
        <f>IF(W325&gt;(H325+P325+Q325),"ERRORE","")</f>
      </c>
      <c r="AB325" s="600">
        <f>IF(X325&gt;(H325+S325+T325),"ERRORE","")</f>
      </c>
      <c r="AD325" s="773"/>
      <c r="AE325" s="773"/>
      <c r="AF325" s="773"/>
    </row>
    <row r="326" spans="1:32" s="585" customFormat="1" ht="27.75" customHeight="1">
      <c r="A326" s="415">
        <v>10</v>
      </c>
      <c r="B326" s="609">
        <v>5</v>
      </c>
      <c r="C326" s="609">
        <v>2</v>
      </c>
      <c r="D326" s="547">
        <v>2069</v>
      </c>
      <c r="E326" s="609">
        <v>202</v>
      </c>
      <c r="F326" s="546" t="s">
        <v>155</v>
      </c>
      <c r="G326" s="610" t="s">
        <v>750</v>
      </c>
      <c r="H326" s="605">
        <v>7497.45</v>
      </c>
      <c r="I326" s="605"/>
      <c r="J326" s="605"/>
      <c r="K326" s="728"/>
      <c r="L326" s="728"/>
      <c r="M326" s="728"/>
      <c r="N326" s="774"/>
      <c r="O326" s="774"/>
      <c r="P326" s="774"/>
      <c r="Q326" s="774"/>
      <c r="R326" s="774"/>
      <c r="S326" s="728"/>
      <c r="T326" s="607"/>
      <c r="U326" s="608"/>
      <c r="V326" s="778">
        <f>H326+M326</f>
        <v>7497.45</v>
      </c>
      <c r="W326" s="656"/>
      <c r="X326" s="608"/>
      <c r="Z326" s="600">
        <f t="shared" si="129"/>
      </c>
      <c r="AA326" s="600"/>
      <c r="AB326" s="600"/>
      <c r="AD326" s="773"/>
      <c r="AE326" s="773"/>
      <c r="AF326" s="773"/>
    </row>
    <row r="327" spans="1:32" s="585" customFormat="1" ht="38.25" customHeight="1">
      <c r="A327" s="415">
        <v>10</v>
      </c>
      <c r="B327" s="609">
        <v>5</v>
      </c>
      <c r="C327" s="609">
        <v>2</v>
      </c>
      <c r="D327" s="924" t="s">
        <v>1006</v>
      </c>
      <c r="E327" s="609">
        <v>202</v>
      </c>
      <c r="F327" s="546" t="s">
        <v>1009</v>
      </c>
      <c r="G327" s="610" t="s">
        <v>957</v>
      </c>
      <c r="H327" s="605"/>
      <c r="I327" s="605"/>
      <c r="J327" s="605"/>
      <c r="K327" s="728"/>
      <c r="L327" s="728"/>
      <c r="M327" s="728">
        <v>30000</v>
      </c>
      <c r="N327" s="774"/>
      <c r="O327" s="774"/>
      <c r="P327" s="774"/>
      <c r="Q327" s="774"/>
      <c r="R327" s="774"/>
      <c r="S327" s="728"/>
      <c r="T327" s="607"/>
      <c r="U327" s="608"/>
      <c r="V327" s="778">
        <f>H327+M327</f>
        <v>30000</v>
      </c>
      <c r="W327" s="656"/>
      <c r="X327" s="608"/>
      <c r="Z327" s="600">
        <f>IF(V327&gt;(H327+M327+N327),"ERRORE","")</f>
      </c>
      <c r="AA327" s="600"/>
      <c r="AB327" s="600"/>
      <c r="AD327" s="773"/>
      <c r="AE327" s="773"/>
      <c r="AF327" s="773"/>
    </row>
    <row r="328" spans="1:32" s="585" customFormat="1" ht="27.75" customHeight="1">
      <c r="A328" s="415">
        <v>10</v>
      </c>
      <c r="B328" s="609">
        <v>5</v>
      </c>
      <c r="C328" s="609">
        <v>2</v>
      </c>
      <c r="D328" s="546" t="s">
        <v>283</v>
      </c>
      <c r="E328" s="609">
        <v>202</v>
      </c>
      <c r="F328" s="546" t="s">
        <v>1009</v>
      </c>
      <c r="G328" s="610" t="s">
        <v>751</v>
      </c>
      <c r="H328" s="605">
        <v>370.35</v>
      </c>
      <c r="I328" s="605"/>
      <c r="J328" s="605"/>
      <c r="K328" s="728"/>
      <c r="L328" s="728">
        <v>370.35</v>
      </c>
      <c r="M328" s="728"/>
      <c r="N328" s="774"/>
      <c r="O328" s="774"/>
      <c r="P328" s="774"/>
      <c r="Q328" s="774"/>
      <c r="R328" s="774"/>
      <c r="S328" s="728"/>
      <c r="T328" s="607"/>
      <c r="U328" s="608"/>
      <c r="V328" s="778">
        <f>H328+M328</f>
        <v>370.35</v>
      </c>
      <c r="W328" s="656"/>
      <c r="X328" s="608"/>
      <c r="Z328" s="600">
        <f t="shared" si="129"/>
      </c>
      <c r="AA328" s="600"/>
      <c r="AB328" s="600"/>
      <c r="AD328" s="773"/>
      <c r="AE328" s="773"/>
      <c r="AF328" s="773"/>
    </row>
    <row r="329" spans="1:32" s="585" customFormat="1" ht="27.75" customHeight="1">
      <c r="A329" s="415">
        <v>10</v>
      </c>
      <c r="B329" s="609">
        <v>5</v>
      </c>
      <c r="C329" s="609">
        <v>2</v>
      </c>
      <c r="D329" s="546" t="s">
        <v>186</v>
      </c>
      <c r="E329" s="609">
        <v>202</v>
      </c>
      <c r="F329" s="546" t="s">
        <v>155</v>
      </c>
      <c r="G329" s="610" t="s">
        <v>650</v>
      </c>
      <c r="H329" s="605">
        <v>213134</v>
      </c>
      <c r="I329" s="605"/>
      <c r="J329" s="605"/>
      <c r="K329" s="728"/>
      <c r="L329" s="728">
        <v>213456</v>
      </c>
      <c r="M329" s="728"/>
      <c r="N329" s="774"/>
      <c r="O329" s="774"/>
      <c r="P329" s="774"/>
      <c r="Q329" s="774"/>
      <c r="R329" s="774"/>
      <c r="S329" s="728"/>
      <c r="T329" s="607"/>
      <c r="U329" s="608"/>
      <c r="V329" s="778">
        <f aca="true" t="shared" si="130" ref="V329:V347">H329+M329</f>
        <v>213134</v>
      </c>
      <c r="W329" s="656"/>
      <c r="X329" s="608"/>
      <c r="Z329" s="600">
        <f t="shared" si="129"/>
      </c>
      <c r="AA329" s="600"/>
      <c r="AB329" s="600"/>
      <c r="AD329" s="773"/>
      <c r="AE329" s="773"/>
      <c r="AF329" s="773"/>
    </row>
    <row r="330" spans="1:32" s="585" customFormat="1" ht="27.75" customHeight="1">
      <c r="A330" s="415">
        <v>10</v>
      </c>
      <c r="B330" s="609">
        <v>5</v>
      </c>
      <c r="C330" s="609">
        <v>2</v>
      </c>
      <c r="D330" s="546" t="s">
        <v>752</v>
      </c>
      <c r="E330" s="609">
        <v>202</v>
      </c>
      <c r="F330" s="546" t="s">
        <v>155</v>
      </c>
      <c r="G330" s="610" t="s">
        <v>753</v>
      </c>
      <c r="H330" s="605">
        <v>3452.38</v>
      </c>
      <c r="I330" s="605"/>
      <c r="J330" s="605"/>
      <c r="K330" s="728"/>
      <c r="L330" s="728"/>
      <c r="M330" s="728"/>
      <c r="N330" s="774"/>
      <c r="O330" s="774"/>
      <c r="P330" s="774"/>
      <c r="Q330" s="774"/>
      <c r="R330" s="774"/>
      <c r="S330" s="728"/>
      <c r="T330" s="607"/>
      <c r="U330" s="608"/>
      <c r="V330" s="778">
        <f t="shared" si="130"/>
        <v>3452.38</v>
      </c>
      <c r="W330" s="656"/>
      <c r="X330" s="608"/>
      <c r="Z330" s="600">
        <f t="shared" si="129"/>
      </c>
      <c r="AA330" s="600"/>
      <c r="AB330" s="600"/>
      <c r="AD330" s="773"/>
      <c r="AE330" s="773"/>
      <c r="AF330" s="773"/>
    </row>
    <row r="331" spans="1:32" s="585" customFormat="1" ht="27.75" customHeight="1">
      <c r="A331" s="415">
        <v>10</v>
      </c>
      <c r="B331" s="609">
        <v>5</v>
      </c>
      <c r="C331" s="609">
        <v>2</v>
      </c>
      <c r="D331" s="547" t="s">
        <v>284</v>
      </c>
      <c r="E331" s="609">
        <v>202</v>
      </c>
      <c r="F331" s="546" t="s">
        <v>155</v>
      </c>
      <c r="G331" s="610" t="s">
        <v>158</v>
      </c>
      <c r="H331" s="605">
        <v>83030.81</v>
      </c>
      <c r="I331" s="605"/>
      <c r="J331" s="605"/>
      <c r="K331" s="728"/>
      <c r="L331" s="728">
        <v>165284.32</v>
      </c>
      <c r="M331" s="728"/>
      <c r="N331" s="774"/>
      <c r="O331" s="774"/>
      <c r="P331" s="774"/>
      <c r="Q331" s="774"/>
      <c r="R331" s="774"/>
      <c r="S331" s="728"/>
      <c r="T331" s="607"/>
      <c r="U331" s="608"/>
      <c r="V331" s="778">
        <f t="shared" si="130"/>
        <v>83030.81</v>
      </c>
      <c r="W331" s="656"/>
      <c r="X331" s="608"/>
      <c r="Z331" s="600">
        <f t="shared" si="129"/>
      </c>
      <c r="AA331" s="600">
        <f>IF(W331&gt;(H331+P331+Q331),"ERRORE","")</f>
      </c>
      <c r="AB331" s="600">
        <f>IF(X331&gt;(H331+S331+T331),"ERRORE","")</f>
      </c>
      <c r="AD331" s="773"/>
      <c r="AE331" s="773"/>
      <c r="AF331" s="773"/>
    </row>
    <row r="332" spans="1:32" s="585" customFormat="1" ht="27.75" customHeight="1">
      <c r="A332" s="415">
        <v>10</v>
      </c>
      <c r="B332" s="609">
        <v>5</v>
      </c>
      <c r="C332" s="609">
        <v>2</v>
      </c>
      <c r="D332" s="546" t="s">
        <v>185</v>
      </c>
      <c r="E332" s="609">
        <v>202</v>
      </c>
      <c r="F332" s="546" t="s">
        <v>155</v>
      </c>
      <c r="G332" s="610" t="s">
        <v>754</v>
      </c>
      <c r="H332" s="605">
        <v>3807</v>
      </c>
      <c r="I332" s="605"/>
      <c r="J332" s="605"/>
      <c r="K332" s="728"/>
      <c r="L332" s="728">
        <v>6217.12</v>
      </c>
      <c r="M332" s="728"/>
      <c r="N332" s="774"/>
      <c r="O332" s="774"/>
      <c r="P332" s="774"/>
      <c r="Q332" s="774"/>
      <c r="R332" s="774"/>
      <c r="S332" s="728"/>
      <c r="T332" s="607"/>
      <c r="U332" s="608"/>
      <c r="V332" s="778">
        <f t="shared" si="130"/>
        <v>3807</v>
      </c>
      <c r="W332" s="656"/>
      <c r="X332" s="608"/>
      <c r="Z332" s="600">
        <f t="shared" si="129"/>
      </c>
      <c r="AA332" s="600"/>
      <c r="AB332" s="600"/>
      <c r="AD332" s="773"/>
      <c r="AE332" s="773"/>
      <c r="AF332" s="773"/>
    </row>
    <row r="333" spans="1:32" s="585" customFormat="1" ht="27.75" customHeight="1">
      <c r="A333" s="415">
        <v>10</v>
      </c>
      <c r="B333" s="609">
        <v>5</v>
      </c>
      <c r="C333" s="609">
        <v>2</v>
      </c>
      <c r="D333" s="924" t="s">
        <v>666</v>
      </c>
      <c r="E333" s="609">
        <v>202</v>
      </c>
      <c r="F333" s="546" t="s">
        <v>293</v>
      </c>
      <c r="G333" s="610" t="s">
        <v>1032</v>
      </c>
      <c r="H333" s="605">
        <v>56240.46</v>
      </c>
      <c r="I333" s="605"/>
      <c r="J333" s="605"/>
      <c r="K333" s="728">
        <v>53000</v>
      </c>
      <c r="L333" s="728">
        <v>56157</v>
      </c>
      <c r="M333" s="1288">
        <v>60000</v>
      </c>
      <c r="N333" s="774"/>
      <c r="O333" s="774"/>
      <c r="P333" s="728"/>
      <c r="Q333" s="774"/>
      <c r="R333" s="774"/>
      <c r="S333" s="728"/>
      <c r="T333" s="607"/>
      <c r="U333" s="608"/>
      <c r="V333" s="778">
        <f t="shared" si="130"/>
        <v>116240.45999999999</v>
      </c>
      <c r="W333" s="656"/>
      <c r="X333" s="608"/>
      <c r="Z333" s="600">
        <f t="shared" si="129"/>
      </c>
      <c r="AA333" s="600" t="e">
        <f>IF(W333&gt;(H333+#REF!+Q333),"ERRORE","")</f>
        <v>#REF!</v>
      </c>
      <c r="AB333" s="600">
        <f>IF(X333&gt;(H333+S333+T333),"ERRORE","")</f>
      </c>
      <c r="AD333" s="773"/>
      <c r="AE333" s="773"/>
      <c r="AF333" s="773"/>
    </row>
    <row r="334" spans="1:32" s="585" customFormat="1" ht="27.75" customHeight="1">
      <c r="A334" s="415">
        <v>10</v>
      </c>
      <c r="B334" s="609">
        <v>5</v>
      </c>
      <c r="C334" s="609">
        <v>2</v>
      </c>
      <c r="D334" s="924" t="s">
        <v>667</v>
      </c>
      <c r="E334" s="609">
        <v>202</v>
      </c>
      <c r="F334" s="546" t="s">
        <v>155</v>
      </c>
      <c r="G334" s="610" t="s">
        <v>668</v>
      </c>
      <c r="H334" s="605">
        <v>0</v>
      </c>
      <c r="I334" s="605"/>
      <c r="J334" s="605"/>
      <c r="K334" s="728">
        <v>100000</v>
      </c>
      <c r="L334" s="728"/>
      <c r="M334" s="728"/>
      <c r="N334" s="774"/>
      <c r="O334" s="774"/>
      <c r="P334" s="774"/>
      <c r="Q334" s="774"/>
      <c r="R334" s="774"/>
      <c r="S334" s="728"/>
      <c r="T334" s="607"/>
      <c r="U334" s="608"/>
      <c r="V334" s="778">
        <f t="shared" si="130"/>
        <v>0</v>
      </c>
      <c r="W334" s="656"/>
      <c r="X334" s="608"/>
      <c r="Z334" s="600">
        <f t="shared" si="129"/>
      </c>
      <c r="AA334" s="600">
        <f>IF(W334&gt;(H334+P334+Q334),"ERRORE","")</f>
      </c>
      <c r="AB334" s="600">
        <f>IF(X334&gt;(H334+S334+T334),"ERRORE","")</f>
      </c>
      <c r="AD334" s="773"/>
      <c r="AE334" s="773"/>
      <c r="AF334" s="773"/>
    </row>
    <row r="335" spans="1:32" s="585" customFormat="1" ht="27.75" customHeight="1">
      <c r="A335" s="415">
        <v>10</v>
      </c>
      <c r="B335" s="609">
        <v>5</v>
      </c>
      <c r="C335" s="609">
        <v>2</v>
      </c>
      <c r="D335" s="924" t="s">
        <v>669</v>
      </c>
      <c r="E335" s="609">
        <v>202</v>
      </c>
      <c r="F335" s="546" t="s">
        <v>155</v>
      </c>
      <c r="G335" s="610" t="s">
        <v>915</v>
      </c>
      <c r="H335" s="605">
        <v>428517.49</v>
      </c>
      <c r="I335" s="605"/>
      <c r="J335" s="605"/>
      <c r="K335" s="728">
        <v>455000</v>
      </c>
      <c r="L335" s="728">
        <v>12180.48</v>
      </c>
      <c r="M335" s="728"/>
      <c r="N335" s="774"/>
      <c r="O335" s="774"/>
      <c r="P335" s="774"/>
      <c r="Q335" s="774"/>
      <c r="R335" s="774"/>
      <c r="S335" s="728"/>
      <c r="T335" s="607"/>
      <c r="U335" s="608"/>
      <c r="V335" s="778">
        <f>H335+M335</f>
        <v>428517.49</v>
      </c>
      <c r="W335" s="656"/>
      <c r="X335" s="608"/>
      <c r="Z335" s="600">
        <f t="shared" si="129"/>
      </c>
      <c r="AA335" s="600"/>
      <c r="AB335" s="600"/>
      <c r="AD335" s="773"/>
      <c r="AE335" s="773"/>
      <c r="AF335" s="773"/>
    </row>
    <row r="336" spans="1:32" s="585" customFormat="1" ht="27.75" customHeight="1">
      <c r="A336" s="415">
        <v>10</v>
      </c>
      <c r="B336" s="609">
        <v>5</v>
      </c>
      <c r="C336" s="609">
        <v>2</v>
      </c>
      <c r="D336" s="924" t="s">
        <v>951</v>
      </c>
      <c r="E336" s="609">
        <v>202</v>
      </c>
      <c r="F336" s="546" t="s">
        <v>155</v>
      </c>
      <c r="G336" s="610" t="s">
        <v>960</v>
      </c>
      <c r="H336" s="605">
        <v>0</v>
      </c>
      <c r="I336" s="605"/>
      <c r="J336" s="605"/>
      <c r="K336" s="728"/>
      <c r="L336" s="728"/>
      <c r="M336" s="728"/>
      <c r="N336" s="774"/>
      <c r="O336" s="774"/>
      <c r="P336" s="774">
        <v>480000</v>
      </c>
      <c r="Q336" s="774"/>
      <c r="R336" s="774"/>
      <c r="S336" s="728"/>
      <c r="T336" s="607"/>
      <c r="U336" s="608"/>
      <c r="V336" s="778">
        <f t="shared" si="130"/>
        <v>0</v>
      </c>
      <c r="W336" s="656"/>
      <c r="X336" s="608"/>
      <c r="Z336" s="600"/>
      <c r="AA336" s="600"/>
      <c r="AB336" s="600"/>
      <c r="AD336" s="773"/>
      <c r="AE336" s="773"/>
      <c r="AF336" s="773"/>
    </row>
    <row r="337" spans="1:32" s="585" customFormat="1" ht="27.75" customHeight="1">
      <c r="A337" s="415">
        <v>10</v>
      </c>
      <c r="B337" s="609">
        <v>5</v>
      </c>
      <c r="C337" s="609">
        <v>2</v>
      </c>
      <c r="D337" s="924" t="s">
        <v>952</v>
      </c>
      <c r="E337" s="609">
        <v>202</v>
      </c>
      <c r="F337" s="546" t="s">
        <v>155</v>
      </c>
      <c r="G337" s="610" t="s">
        <v>959</v>
      </c>
      <c r="H337" s="605">
        <v>0</v>
      </c>
      <c r="I337" s="605"/>
      <c r="J337" s="605"/>
      <c r="K337" s="728"/>
      <c r="L337" s="728"/>
      <c r="M337" s="728">
        <v>384500</v>
      </c>
      <c r="N337" s="774"/>
      <c r="O337" s="774"/>
      <c r="P337" s="774"/>
      <c r="Q337" s="774"/>
      <c r="R337" s="774"/>
      <c r="S337" s="728"/>
      <c r="T337" s="607"/>
      <c r="U337" s="608"/>
      <c r="V337" s="778">
        <f t="shared" si="130"/>
        <v>384500</v>
      </c>
      <c r="W337" s="656"/>
      <c r="X337" s="608"/>
      <c r="Z337" s="600"/>
      <c r="AA337" s="600"/>
      <c r="AB337" s="600"/>
      <c r="AD337" s="773"/>
      <c r="AE337" s="773"/>
      <c r="AF337" s="773"/>
    </row>
    <row r="338" spans="1:32" s="585" customFormat="1" ht="27.75" customHeight="1">
      <c r="A338" s="415">
        <v>10</v>
      </c>
      <c r="B338" s="609">
        <v>5</v>
      </c>
      <c r="C338" s="609">
        <v>2</v>
      </c>
      <c r="D338" s="924" t="s">
        <v>1007</v>
      </c>
      <c r="E338" s="609">
        <v>202</v>
      </c>
      <c r="F338" s="546" t="s">
        <v>155</v>
      </c>
      <c r="G338" s="610" t="s">
        <v>958</v>
      </c>
      <c r="H338" s="605"/>
      <c r="I338" s="605"/>
      <c r="J338" s="605"/>
      <c r="K338" s="728"/>
      <c r="L338" s="728"/>
      <c r="M338" s="728"/>
      <c r="N338" s="774"/>
      <c r="O338" s="774"/>
      <c r="P338" s="774"/>
      <c r="Q338" s="774"/>
      <c r="R338" s="774"/>
      <c r="S338" s="728"/>
      <c r="T338" s="607"/>
      <c r="U338" s="608"/>
      <c r="V338" s="778">
        <f t="shared" si="130"/>
        <v>0</v>
      </c>
      <c r="W338" s="656"/>
      <c r="X338" s="608"/>
      <c r="Z338" s="600"/>
      <c r="AA338" s="600"/>
      <c r="AB338" s="600"/>
      <c r="AD338" s="773"/>
      <c r="AE338" s="773"/>
      <c r="AF338" s="773"/>
    </row>
    <row r="339" spans="1:32" s="585" customFormat="1" ht="45" customHeight="1">
      <c r="A339" s="453"/>
      <c r="B339" s="609">
        <v>5</v>
      </c>
      <c r="C339" s="609">
        <v>2</v>
      </c>
      <c r="D339" s="924" t="s">
        <v>1033</v>
      </c>
      <c r="E339" s="609">
        <v>202</v>
      </c>
      <c r="F339" s="546" t="s">
        <v>155</v>
      </c>
      <c r="G339" s="628" t="s">
        <v>1034</v>
      </c>
      <c r="H339" s="614"/>
      <c r="I339" s="614"/>
      <c r="J339" s="614"/>
      <c r="K339" s="729"/>
      <c r="L339" s="729"/>
      <c r="M339" s="729">
        <v>170000</v>
      </c>
      <c r="N339" s="775"/>
      <c r="O339" s="775"/>
      <c r="P339" s="775"/>
      <c r="Q339" s="774"/>
      <c r="R339" s="775"/>
      <c r="S339" s="729"/>
      <c r="T339" s="617"/>
      <c r="U339" s="618"/>
      <c r="V339" s="778">
        <f t="shared" si="130"/>
        <v>170000</v>
      </c>
      <c r="W339" s="656"/>
      <c r="X339" s="608"/>
      <c r="Z339" s="600"/>
      <c r="AA339" s="600"/>
      <c r="AB339" s="600"/>
      <c r="AD339" s="773"/>
      <c r="AE339" s="773"/>
      <c r="AF339" s="773"/>
    </row>
    <row r="340" spans="1:32" s="585" customFormat="1" ht="27.75" customHeight="1">
      <c r="A340" s="453">
        <v>10</v>
      </c>
      <c r="B340" s="613">
        <v>5</v>
      </c>
      <c r="C340" s="613">
        <v>2</v>
      </c>
      <c r="D340" s="784" t="s">
        <v>755</v>
      </c>
      <c r="E340" s="613">
        <v>202</v>
      </c>
      <c r="F340" s="546" t="s">
        <v>155</v>
      </c>
      <c r="G340" s="628" t="s">
        <v>756</v>
      </c>
      <c r="H340" s="614">
        <v>4342.05</v>
      </c>
      <c r="I340" s="614"/>
      <c r="J340" s="614"/>
      <c r="K340" s="729"/>
      <c r="L340" s="729"/>
      <c r="M340" s="729"/>
      <c r="N340" s="775"/>
      <c r="O340" s="775"/>
      <c r="P340" s="775"/>
      <c r="Q340" s="774"/>
      <c r="R340" s="775"/>
      <c r="S340" s="729"/>
      <c r="T340" s="617"/>
      <c r="U340" s="618"/>
      <c r="V340" s="778">
        <f t="shared" si="130"/>
        <v>4342.05</v>
      </c>
      <c r="W340" s="656"/>
      <c r="X340" s="608"/>
      <c r="Z340" s="600"/>
      <c r="AA340" s="600"/>
      <c r="AB340" s="600"/>
      <c r="AD340" s="773"/>
      <c r="AE340" s="773"/>
      <c r="AF340" s="773"/>
    </row>
    <row r="341" spans="1:32" s="585" customFormat="1" ht="27.75" customHeight="1">
      <c r="A341" s="415">
        <v>10</v>
      </c>
      <c r="B341" s="609">
        <v>5</v>
      </c>
      <c r="C341" s="609">
        <v>2</v>
      </c>
      <c r="D341" s="547">
        <v>2074</v>
      </c>
      <c r="E341" s="609">
        <v>202</v>
      </c>
      <c r="F341" s="546" t="s">
        <v>155</v>
      </c>
      <c r="G341" s="610" t="s">
        <v>652</v>
      </c>
      <c r="H341" s="605">
        <v>14761.36</v>
      </c>
      <c r="I341" s="605"/>
      <c r="J341" s="605"/>
      <c r="K341" s="728">
        <f>70000-60000</f>
        <v>10000</v>
      </c>
      <c r="L341" s="728">
        <v>25923.65</v>
      </c>
      <c r="M341" s="728"/>
      <c r="N341" s="774"/>
      <c r="O341" s="774"/>
      <c r="P341" s="774">
        <v>95000</v>
      </c>
      <c r="Q341" s="774"/>
      <c r="R341" s="774"/>
      <c r="S341" s="774">
        <v>150000</v>
      </c>
      <c r="T341" s="607"/>
      <c r="U341" s="608"/>
      <c r="V341" s="778">
        <f t="shared" si="130"/>
        <v>14761.36</v>
      </c>
      <c r="W341" s="656"/>
      <c r="X341" s="608"/>
      <c r="Z341" s="600">
        <f t="shared" si="113"/>
      </c>
      <c r="AA341" s="600">
        <f>IF(W341&gt;(H341+P341+Q341),"ERRORE","")</f>
      </c>
      <c r="AB341" s="600">
        <f>IF(X341&gt;(H341+S341+T341),"ERRORE","")</f>
      </c>
      <c r="AD341" s="773"/>
      <c r="AE341" s="773"/>
      <c r="AF341" s="773"/>
    </row>
    <row r="342" spans="1:32" s="585" customFormat="1" ht="37.5" customHeight="1">
      <c r="A342" s="453">
        <v>10</v>
      </c>
      <c r="B342" s="613">
        <v>5</v>
      </c>
      <c r="C342" s="613">
        <v>2</v>
      </c>
      <c r="D342" s="784">
        <v>2075</v>
      </c>
      <c r="E342" s="613">
        <v>202</v>
      </c>
      <c r="F342" s="546" t="s">
        <v>1010</v>
      </c>
      <c r="G342" s="628" t="s">
        <v>941</v>
      </c>
      <c r="H342" s="614">
        <v>0</v>
      </c>
      <c r="I342" s="614"/>
      <c r="J342" s="614"/>
      <c r="K342" s="729">
        <v>25605</v>
      </c>
      <c r="L342" s="729"/>
      <c r="M342" s="729"/>
      <c r="N342" s="775"/>
      <c r="O342" s="775"/>
      <c r="P342" s="775"/>
      <c r="Q342" s="774"/>
      <c r="R342" s="775"/>
      <c r="S342" s="729"/>
      <c r="T342" s="617"/>
      <c r="U342" s="618"/>
      <c r="V342" s="778">
        <f t="shared" si="130"/>
        <v>0</v>
      </c>
      <c r="W342" s="656"/>
      <c r="X342" s="608"/>
      <c r="Z342" s="600"/>
      <c r="AA342" s="600"/>
      <c r="AB342" s="600"/>
      <c r="AD342" s="773"/>
      <c r="AE342" s="773"/>
      <c r="AF342" s="773"/>
    </row>
    <row r="343" spans="1:32" s="585" customFormat="1" ht="32.25" customHeight="1">
      <c r="A343" s="453">
        <v>10</v>
      </c>
      <c r="B343" s="613">
        <v>5</v>
      </c>
      <c r="C343" s="613">
        <v>2</v>
      </c>
      <c r="D343" s="550">
        <v>2077</v>
      </c>
      <c r="E343" s="613">
        <v>202</v>
      </c>
      <c r="F343" s="612" t="s">
        <v>293</v>
      </c>
      <c r="G343" s="628" t="s">
        <v>757</v>
      </c>
      <c r="H343" s="614">
        <v>20175</v>
      </c>
      <c r="I343" s="614"/>
      <c r="J343" s="614"/>
      <c r="K343" s="729"/>
      <c r="L343" s="729">
        <v>20175</v>
      </c>
      <c r="M343" s="729"/>
      <c r="N343" s="775"/>
      <c r="O343" s="775"/>
      <c r="P343" s="775"/>
      <c r="Q343" s="934"/>
      <c r="R343" s="775"/>
      <c r="S343" s="729"/>
      <c r="T343" s="617"/>
      <c r="U343" s="634"/>
      <c r="V343" s="778">
        <f>H343+M343</f>
        <v>20175</v>
      </c>
      <c r="W343" s="656"/>
      <c r="X343" s="608"/>
      <c r="Z343" s="600">
        <f>IF(V343&gt;(H343+M343+N343),"ERRORE","")</f>
      </c>
      <c r="AA343" s="600">
        <f>IF(W343&gt;(H343+P343+Q343),"ERRORE","")</f>
      </c>
      <c r="AB343" s="600">
        <f>IF(X343&gt;(H343+S343+T343),"ERRORE","")</f>
      </c>
      <c r="AD343" s="773"/>
      <c r="AE343" s="773"/>
      <c r="AF343" s="773"/>
    </row>
    <row r="344" spans="1:32" s="585" customFormat="1" ht="32.25" customHeight="1">
      <c r="A344" s="453">
        <v>10</v>
      </c>
      <c r="B344" s="613">
        <v>5</v>
      </c>
      <c r="C344" s="613">
        <v>2</v>
      </c>
      <c r="D344" s="550">
        <v>2101</v>
      </c>
      <c r="E344" s="613">
        <v>202</v>
      </c>
      <c r="F344" s="546" t="s">
        <v>155</v>
      </c>
      <c r="G344" s="628" t="s">
        <v>292</v>
      </c>
      <c r="H344" s="614">
        <v>19339.37</v>
      </c>
      <c r="I344" s="614"/>
      <c r="J344" s="614"/>
      <c r="K344" s="729"/>
      <c r="L344" s="729">
        <v>13825.9</v>
      </c>
      <c r="M344" s="729"/>
      <c r="N344" s="775"/>
      <c r="O344" s="775"/>
      <c r="P344" s="775"/>
      <c r="Q344" s="728"/>
      <c r="R344" s="775"/>
      <c r="S344" s="729"/>
      <c r="T344" s="617"/>
      <c r="U344" s="618"/>
      <c r="V344" s="778">
        <f t="shared" si="130"/>
        <v>19339.37</v>
      </c>
      <c r="W344" s="656"/>
      <c r="X344" s="608"/>
      <c r="Z344" s="600"/>
      <c r="AA344" s="600">
        <f t="shared" si="114"/>
      </c>
      <c r="AB344" s="600">
        <f t="shared" si="115"/>
      </c>
      <c r="AD344" s="773"/>
      <c r="AE344" s="773"/>
      <c r="AF344" s="773"/>
    </row>
    <row r="345" spans="1:28" s="773" customFormat="1" ht="32.25" customHeight="1">
      <c r="A345" s="782">
        <v>10</v>
      </c>
      <c r="B345" s="967">
        <v>5</v>
      </c>
      <c r="C345" s="967">
        <v>2</v>
      </c>
      <c r="D345" s="1080">
        <v>2105</v>
      </c>
      <c r="E345" s="967">
        <v>205</v>
      </c>
      <c r="F345" s="784" t="s">
        <v>1011</v>
      </c>
      <c r="G345" s="785" t="s">
        <v>947</v>
      </c>
      <c r="H345" s="739">
        <v>10000</v>
      </c>
      <c r="I345" s="739"/>
      <c r="J345" s="739"/>
      <c r="K345" s="729">
        <v>25000</v>
      </c>
      <c r="L345" s="729">
        <v>10000</v>
      </c>
      <c r="M345" s="729"/>
      <c r="N345" s="775"/>
      <c r="O345" s="775"/>
      <c r="P345" s="775"/>
      <c r="Q345" s="922"/>
      <c r="R345" s="775"/>
      <c r="S345" s="729"/>
      <c r="T345" s="799"/>
      <c r="U345" s="969"/>
      <c r="V345" s="778">
        <f t="shared" si="130"/>
        <v>10000</v>
      </c>
      <c r="W345" s="1081"/>
      <c r="X345" s="964"/>
      <c r="Z345" s="788"/>
      <c r="AA345" s="788"/>
      <c r="AB345" s="788"/>
    </row>
    <row r="346" spans="1:28" s="773" customFormat="1" ht="32.25" customHeight="1">
      <c r="A346" s="782">
        <v>10</v>
      </c>
      <c r="B346" s="967">
        <v>5</v>
      </c>
      <c r="C346" s="967">
        <v>2</v>
      </c>
      <c r="D346" s="1080">
        <v>2106</v>
      </c>
      <c r="E346" s="967">
        <v>202</v>
      </c>
      <c r="F346" s="784" t="s">
        <v>1012</v>
      </c>
      <c r="G346" s="785" t="s">
        <v>946</v>
      </c>
      <c r="H346" s="739">
        <v>0</v>
      </c>
      <c r="I346" s="739"/>
      <c r="J346" s="739"/>
      <c r="K346" s="729">
        <v>60000</v>
      </c>
      <c r="L346" s="729"/>
      <c r="M346" s="729"/>
      <c r="N346" s="775"/>
      <c r="O346" s="775"/>
      <c r="P346" s="775"/>
      <c r="Q346" s="922"/>
      <c r="R346" s="775"/>
      <c r="S346" s="729"/>
      <c r="T346" s="799"/>
      <c r="U346" s="969"/>
      <c r="V346" s="778">
        <f t="shared" si="130"/>
        <v>0</v>
      </c>
      <c r="W346" s="1081"/>
      <c r="X346" s="964"/>
      <c r="Z346" s="788"/>
      <c r="AA346" s="788"/>
      <c r="AB346" s="788"/>
    </row>
    <row r="347" spans="1:28" s="773" customFormat="1" ht="32.25" customHeight="1" hidden="1">
      <c r="A347" s="782">
        <v>10</v>
      </c>
      <c r="B347" s="967">
        <v>5</v>
      </c>
      <c r="C347" s="967">
        <v>2</v>
      </c>
      <c r="D347" s="1080"/>
      <c r="E347" s="967"/>
      <c r="F347" s="784"/>
      <c r="G347" s="785"/>
      <c r="H347" s="739"/>
      <c r="I347" s="739"/>
      <c r="J347" s="739"/>
      <c r="K347" s="729"/>
      <c r="L347" s="729"/>
      <c r="M347" s="729"/>
      <c r="N347" s="775"/>
      <c r="O347" s="775"/>
      <c r="P347" s="775"/>
      <c r="Q347" s="922"/>
      <c r="R347" s="775"/>
      <c r="S347" s="729"/>
      <c r="T347" s="799"/>
      <c r="U347" s="969"/>
      <c r="V347" s="778">
        <f t="shared" si="130"/>
        <v>0</v>
      </c>
      <c r="W347" s="1081"/>
      <c r="X347" s="964"/>
      <c r="Z347" s="788"/>
      <c r="AA347" s="788"/>
      <c r="AB347" s="788"/>
    </row>
    <row r="348" spans="1:28" ht="27" customHeight="1" thickBot="1">
      <c r="A348" s="1360" t="s">
        <v>64</v>
      </c>
      <c r="B348" s="1361"/>
      <c r="C348" s="1361"/>
      <c r="D348" s="1361"/>
      <c r="E348" s="1361"/>
      <c r="F348" s="1361"/>
      <c r="G348" s="1362"/>
      <c r="H348" s="623">
        <f aca="true" t="shared" si="131" ref="H348:X348">SUM(H325:H347)</f>
        <v>866496.68</v>
      </c>
      <c r="I348" s="623">
        <f t="shared" si="131"/>
        <v>0</v>
      </c>
      <c r="J348" s="623">
        <f t="shared" si="131"/>
        <v>0</v>
      </c>
      <c r="K348" s="730">
        <f t="shared" si="131"/>
        <v>728605</v>
      </c>
      <c r="L348" s="730">
        <f t="shared" si="131"/>
        <v>523589.82000000007</v>
      </c>
      <c r="M348" s="730">
        <f t="shared" si="131"/>
        <v>644500</v>
      </c>
      <c r="N348" s="624">
        <f t="shared" si="131"/>
        <v>0</v>
      </c>
      <c r="O348" s="624">
        <f t="shared" si="131"/>
        <v>0</v>
      </c>
      <c r="P348" s="624">
        <f t="shared" si="131"/>
        <v>575000</v>
      </c>
      <c r="Q348" s="625">
        <f t="shared" si="131"/>
        <v>0</v>
      </c>
      <c r="R348" s="625">
        <f t="shared" si="131"/>
        <v>0</v>
      </c>
      <c r="S348" s="625">
        <f t="shared" si="131"/>
        <v>150000</v>
      </c>
      <c r="T348" s="625">
        <f t="shared" si="131"/>
        <v>0</v>
      </c>
      <c r="U348" s="625">
        <f t="shared" si="131"/>
        <v>0</v>
      </c>
      <c r="V348" s="833">
        <f t="shared" si="131"/>
        <v>1510996.6800000002</v>
      </c>
      <c r="W348" s="658">
        <f t="shared" si="131"/>
        <v>0</v>
      </c>
      <c r="X348" s="626">
        <f t="shared" si="131"/>
        <v>0</v>
      </c>
      <c r="Z348" s="600">
        <f t="shared" si="113"/>
      </c>
      <c r="AA348" s="600">
        <f t="shared" si="114"/>
      </c>
      <c r="AB348" s="600">
        <f t="shared" si="115"/>
      </c>
    </row>
    <row r="349" spans="1:32" s="853" customFormat="1" ht="21" customHeight="1" thickBot="1">
      <c r="A349" s="1336" t="s">
        <v>66</v>
      </c>
      <c r="B349" s="1337"/>
      <c r="C349" s="1337"/>
      <c r="D349" s="1337"/>
      <c r="E349" s="1337"/>
      <c r="F349" s="1337"/>
      <c r="G349" s="1338"/>
      <c r="H349" s="738">
        <f>H348</f>
        <v>866496.68</v>
      </c>
      <c r="I349" s="738">
        <f aca="true" t="shared" si="132" ref="I349:O349">I348</f>
        <v>0</v>
      </c>
      <c r="J349" s="738">
        <f t="shared" si="132"/>
        <v>0</v>
      </c>
      <c r="K349" s="738">
        <f t="shared" si="132"/>
        <v>728605</v>
      </c>
      <c r="L349" s="738">
        <f t="shared" si="132"/>
        <v>523589.82000000007</v>
      </c>
      <c r="M349" s="738">
        <f t="shared" si="132"/>
        <v>644500</v>
      </c>
      <c r="N349" s="738">
        <f t="shared" si="132"/>
        <v>0</v>
      </c>
      <c r="O349" s="738">
        <f t="shared" si="132"/>
        <v>0</v>
      </c>
      <c r="P349" s="738">
        <f aca="true" t="shared" si="133" ref="P349:X349">P348</f>
        <v>575000</v>
      </c>
      <c r="Q349" s="738">
        <f t="shared" si="133"/>
        <v>0</v>
      </c>
      <c r="R349" s="738">
        <f t="shared" si="133"/>
        <v>0</v>
      </c>
      <c r="S349" s="738">
        <f t="shared" si="133"/>
        <v>150000</v>
      </c>
      <c r="T349" s="738">
        <f t="shared" si="133"/>
        <v>0</v>
      </c>
      <c r="U349" s="738">
        <f t="shared" si="133"/>
        <v>0</v>
      </c>
      <c r="V349" s="738">
        <f t="shared" si="133"/>
        <v>1510996.6800000002</v>
      </c>
      <c r="W349" s="738">
        <f t="shared" si="133"/>
        <v>0</v>
      </c>
      <c r="X349" s="738">
        <f t="shared" si="133"/>
        <v>0</v>
      </c>
      <c r="Z349" s="788">
        <f>IF(V349&gt;(H349+M349+N349),"ERRORE","")</f>
      </c>
      <c r="AA349" s="788">
        <f>IF(W349&gt;(H349+P349+Q349),"ERRORE","")</f>
      </c>
      <c r="AB349" s="788">
        <f>IF(X349&gt;(H349+S349+T349),"ERRORE","")</f>
      </c>
      <c r="AD349" s="854"/>
      <c r="AF349" s="854"/>
    </row>
    <row r="350" spans="1:32" s="589" customFormat="1" ht="21" customHeight="1" thickBot="1">
      <c r="A350" s="1368" t="s">
        <v>67</v>
      </c>
      <c r="B350" s="1369"/>
      <c r="C350" s="1369"/>
      <c r="D350" s="1369"/>
      <c r="E350" s="1369"/>
      <c r="F350" s="1369"/>
      <c r="G350" s="1370"/>
      <c r="H350" s="1382"/>
      <c r="I350" s="1383"/>
      <c r="J350" s="1383"/>
      <c r="K350" s="1383"/>
      <c r="L350" s="1383"/>
      <c r="M350" s="1383"/>
      <c r="N350" s="1383"/>
      <c r="O350" s="1383"/>
      <c r="P350" s="1383"/>
      <c r="Q350" s="1383"/>
      <c r="R350" s="1383"/>
      <c r="S350" s="1383"/>
      <c r="T350" s="1383"/>
      <c r="U350" s="1383"/>
      <c r="V350" s="1383"/>
      <c r="W350" s="1383"/>
      <c r="X350" s="1384"/>
      <c r="Z350" s="600">
        <f>IF(V350&gt;(H350+M350+N350),"ERRORE","")</f>
      </c>
      <c r="AA350" s="600">
        <f>IF(W350&gt;(H350+P350+Q350),"ERRORE","")</f>
      </c>
      <c r="AB350" s="600">
        <f>IF(X350&gt;(H350+S350+T350),"ERRORE","")</f>
      </c>
      <c r="AD350" s="853"/>
      <c r="AE350" s="853"/>
      <c r="AF350" s="862"/>
    </row>
    <row r="351" spans="1:28" ht="27" customHeight="1">
      <c r="A351" s="469">
        <v>11</v>
      </c>
      <c r="B351" s="513">
        <v>1</v>
      </c>
      <c r="C351" s="513">
        <v>2</v>
      </c>
      <c r="D351" s="514">
        <v>2104</v>
      </c>
      <c r="E351" s="513">
        <v>203</v>
      </c>
      <c r="F351" s="514" t="s">
        <v>1011</v>
      </c>
      <c r="G351" s="515" t="s">
        <v>711</v>
      </c>
      <c r="H351" s="517">
        <v>3500</v>
      </c>
      <c r="I351" s="517"/>
      <c r="J351" s="517"/>
      <c r="K351" s="747"/>
      <c r="L351" s="747">
        <v>3500</v>
      </c>
      <c r="M351" s="751">
        <v>0</v>
      </c>
      <c r="N351" s="1092"/>
      <c r="O351" s="1092"/>
      <c r="P351" s="1092">
        <v>0</v>
      </c>
      <c r="Q351" s="1092"/>
      <c r="R351" s="1092"/>
      <c r="S351" s="751">
        <v>0</v>
      </c>
      <c r="T351" s="674"/>
      <c r="U351" s="675"/>
      <c r="V351" s="844">
        <f>H351+M351</f>
        <v>3500</v>
      </c>
      <c r="W351" s="673"/>
      <c r="X351" s="631"/>
      <c r="Z351" s="600">
        <f t="shared" si="113"/>
      </c>
      <c r="AA351" s="600">
        <f t="shared" si="114"/>
      </c>
      <c r="AB351" s="600">
        <f t="shared" si="115"/>
      </c>
    </row>
    <row r="352" spans="1:28" ht="27" customHeight="1" hidden="1">
      <c r="A352" s="453"/>
      <c r="B352" s="613"/>
      <c r="C352" s="613"/>
      <c r="D352" s="612"/>
      <c r="E352" s="613"/>
      <c r="F352" s="612"/>
      <c r="G352" s="676"/>
      <c r="H352" s="614"/>
      <c r="I352" s="614"/>
      <c r="J352" s="614"/>
      <c r="K352" s="748"/>
      <c r="L352" s="748"/>
      <c r="M352" s="739"/>
      <c r="N352" s="677"/>
      <c r="O352" s="677"/>
      <c r="P352" s="677"/>
      <c r="Q352" s="678"/>
      <c r="R352" s="677"/>
      <c r="S352" s="614"/>
      <c r="T352" s="679"/>
      <c r="U352" s="680"/>
      <c r="V352" s="791"/>
      <c r="W352" s="673"/>
      <c r="X352" s="631"/>
      <c r="Z352" s="600">
        <f t="shared" si="113"/>
      </c>
      <c r="AA352" s="600">
        <f t="shared" si="114"/>
      </c>
      <c r="AB352" s="600">
        <f t="shared" si="115"/>
      </c>
    </row>
    <row r="353" spans="1:28" ht="27" customHeight="1">
      <c r="A353" s="1356" t="s">
        <v>365</v>
      </c>
      <c r="B353" s="1357"/>
      <c r="C353" s="1357"/>
      <c r="D353" s="1357"/>
      <c r="E353" s="1357"/>
      <c r="F353" s="1357"/>
      <c r="G353" s="1357"/>
      <c r="H353" s="623">
        <f aca="true" t="shared" si="134" ref="H353:X353">SUM(H351:H352)</f>
        <v>3500</v>
      </c>
      <c r="I353" s="623">
        <f t="shared" si="134"/>
        <v>0</v>
      </c>
      <c r="J353" s="623">
        <f t="shared" si="134"/>
        <v>0</v>
      </c>
      <c r="K353" s="732">
        <f t="shared" si="134"/>
        <v>0</v>
      </c>
      <c r="L353" s="732">
        <f t="shared" si="134"/>
        <v>3500</v>
      </c>
      <c r="M353" s="732">
        <f t="shared" si="134"/>
        <v>0</v>
      </c>
      <c r="N353" s="623">
        <f t="shared" si="134"/>
        <v>0</v>
      </c>
      <c r="O353" s="623">
        <f t="shared" si="134"/>
        <v>0</v>
      </c>
      <c r="P353" s="623">
        <f t="shared" si="134"/>
        <v>0</v>
      </c>
      <c r="Q353" s="629">
        <f t="shared" si="134"/>
        <v>0</v>
      </c>
      <c r="R353" s="629">
        <f t="shared" si="134"/>
        <v>0</v>
      </c>
      <c r="S353" s="629">
        <f t="shared" si="134"/>
        <v>0</v>
      </c>
      <c r="T353" s="629">
        <f t="shared" si="134"/>
        <v>0</v>
      </c>
      <c r="U353" s="629">
        <f t="shared" si="134"/>
        <v>0</v>
      </c>
      <c r="V353" s="768">
        <f t="shared" si="134"/>
        <v>3500</v>
      </c>
      <c r="W353" s="654">
        <f t="shared" si="134"/>
        <v>0</v>
      </c>
      <c r="X353" s="630">
        <f t="shared" si="134"/>
        <v>0</v>
      </c>
      <c r="Z353" s="600">
        <f t="shared" si="113"/>
      </c>
      <c r="AA353" s="600">
        <f t="shared" si="114"/>
      </c>
      <c r="AB353" s="600">
        <f t="shared" si="115"/>
      </c>
    </row>
    <row r="354" spans="1:28" ht="27" customHeight="1" hidden="1">
      <c r="A354" s="404">
        <v>11</v>
      </c>
      <c r="B354" s="591">
        <v>2</v>
      </c>
      <c r="C354" s="591">
        <v>2</v>
      </c>
      <c r="D354" s="545">
        <v>2121</v>
      </c>
      <c r="E354" s="591">
        <v>204</v>
      </c>
      <c r="F354" s="545" t="s">
        <v>85</v>
      </c>
      <c r="G354" s="668" t="s">
        <v>294</v>
      </c>
      <c r="H354" s="594"/>
      <c r="I354" s="594"/>
      <c r="J354" s="594"/>
      <c r="K354" s="746"/>
      <c r="L354" s="746"/>
      <c r="M354" s="726"/>
      <c r="N354" s="669"/>
      <c r="O354" s="669"/>
      <c r="P354" s="669"/>
      <c r="Q354" s="670"/>
      <c r="R354" s="669"/>
      <c r="S354" s="594"/>
      <c r="T354" s="671"/>
      <c r="U354" s="672"/>
      <c r="V354" s="794"/>
      <c r="W354" s="673"/>
      <c r="X354" s="631"/>
      <c r="Z354" s="600">
        <f>IF(V354&gt;(H354+M354+N354),"ERRORE","")</f>
      </c>
      <c r="AA354" s="600">
        <f>IF(W354&gt;(H354+P354+Q354),"ERRORE","")</f>
      </c>
      <c r="AB354" s="600">
        <f>IF(X354&gt;(H354+S354+T354),"ERRORE","")</f>
      </c>
    </row>
    <row r="355" spans="1:32" s="589" customFormat="1" ht="27.75" customHeight="1" thickBot="1">
      <c r="A355" s="1356" t="s">
        <v>366</v>
      </c>
      <c r="B355" s="1357"/>
      <c r="C355" s="1357"/>
      <c r="D355" s="1357"/>
      <c r="E355" s="1357"/>
      <c r="F355" s="1357"/>
      <c r="G355" s="1357"/>
      <c r="H355" s="623">
        <f aca="true" t="shared" si="135" ref="H355:R355">SUM(H354)</f>
        <v>0</v>
      </c>
      <c r="I355" s="623">
        <f t="shared" si="135"/>
        <v>0</v>
      </c>
      <c r="J355" s="623">
        <f t="shared" si="135"/>
        <v>0</v>
      </c>
      <c r="K355" s="732">
        <f t="shared" si="135"/>
        <v>0</v>
      </c>
      <c r="L355" s="732">
        <f t="shared" si="135"/>
        <v>0</v>
      </c>
      <c r="M355" s="732">
        <f t="shared" si="135"/>
        <v>0</v>
      </c>
      <c r="N355" s="623">
        <f t="shared" si="135"/>
        <v>0</v>
      </c>
      <c r="O355" s="623">
        <f t="shared" si="135"/>
        <v>0</v>
      </c>
      <c r="P355" s="623">
        <f t="shared" si="135"/>
        <v>0</v>
      </c>
      <c r="Q355" s="629">
        <f t="shared" si="135"/>
        <v>0</v>
      </c>
      <c r="R355" s="629">
        <f t="shared" si="135"/>
        <v>0</v>
      </c>
      <c r="S355" s="629">
        <f aca="true" t="shared" si="136" ref="S355:X355">SUM(S354)</f>
        <v>0</v>
      </c>
      <c r="T355" s="629">
        <f t="shared" si="136"/>
        <v>0</v>
      </c>
      <c r="U355" s="629">
        <f t="shared" si="136"/>
        <v>0</v>
      </c>
      <c r="V355" s="768">
        <f t="shared" si="136"/>
        <v>0</v>
      </c>
      <c r="W355" s="654">
        <f t="shared" si="136"/>
        <v>0</v>
      </c>
      <c r="X355" s="630">
        <f t="shared" si="136"/>
        <v>0</v>
      </c>
      <c r="Z355" s="600">
        <f t="shared" si="113"/>
      </c>
      <c r="AA355" s="600">
        <f t="shared" si="114"/>
      </c>
      <c r="AB355" s="600">
        <f t="shared" si="115"/>
      </c>
      <c r="AD355" s="853"/>
      <c r="AE355" s="853"/>
      <c r="AF355" s="853"/>
    </row>
    <row r="356" spans="1:28" s="853" customFormat="1" ht="21" customHeight="1" thickBot="1">
      <c r="A356" s="1336" t="s">
        <v>68</v>
      </c>
      <c r="B356" s="1337"/>
      <c r="C356" s="1337"/>
      <c r="D356" s="1337"/>
      <c r="E356" s="1337"/>
      <c r="F356" s="1337"/>
      <c r="G356" s="1338"/>
      <c r="H356" s="738">
        <f>H353+H355</f>
        <v>3500</v>
      </c>
      <c r="I356" s="738">
        <f aca="true" t="shared" si="137" ref="I356:O356">I353+I355</f>
        <v>0</v>
      </c>
      <c r="J356" s="738">
        <f t="shared" si="137"/>
        <v>0</v>
      </c>
      <c r="K356" s="738">
        <f t="shared" si="137"/>
        <v>0</v>
      </c>
      <c r="L356" s="738">
        <f t="shared" si="137"/>
        <v>3500</v>
      </c>
      <c r="M356" s="738">
        <f t="shared" si="137"/>
        <v>0</v>
      </c>
      <c r="N356" s="738">
        <f t="shared" si="137"/>
        <v>0</v>
      </c>
      <c r="O356" s="738">
        <f t="shared" si="137"/>
        <v>0</v>
      </c>
      <c r="P356" s="738">
        <f aca="true" t="shared" si="138" ref="P356:X356">P353+P355</f>
        <v>0</v>
      </c>
      <c r="Q356" s="738">
        <f t="shared" si="138"/>
        <v>0</v>
      </c>
      <c r="R356" s="738">
        <f t="shared" si="138"/>
        <v>0</v>
      </c>
      <c r="S356" s="738">
        <f t="shared" si="138"/>
        <v>0</v>
      </c>
      <c r="T356" s="738">
        <f t="shared" si="138"/>
        <v>0</v>
      </c>
      <c r="U356" s="738">
        <f t="shared" si="138"/>
        <v>0</v>
      </c>
      <c r="V356" s="738">
        <f t="shared" si="138"/>
        <v>3500</v>
      </c>
      <c r="W356" s="738">
        <f t="shared" si="138"/>
        <v>0</v>
      </c>
      <c r="X356" s="738">
        <f t="shared" si="138"/>
        <v>0</v>
      </c>
      <c r="Z356" s="788">
        <f t="shared" si="113"/>
      </c>
      <c r="AA356" s="788">
        <f t="shared" si="114"/>
      </c>
      <c r="AB356" s="788">
        <f t="shared" si="115"/>
      </c>
    </row>
    <row r="357" spans="1:32" s="589" customFormat="1" ht="21" customHeight="1" thickBot="1">
      <c r="A357" s="1368" t="s">
        <v>69</v>
      </c>
      <c r="B357" s="1369"/>
      <c r="C357" s="1369"/>
      <c r="D357" s="1369"/>
      <c r="E357" s="1369"/>
      <c r="F357" s="1369"/>
      <c r="G357" s="1370"/>
      <c r="H357" s="1382"/>
      <c r="I357" s="1383"/>
      <c r="J357" s="1383"/>
      <c r="K357" s="1383"/>
      <c r="L357" s="1383"/>
      <c r="M357" s="1383"/>
      <c r="N357" s="1383"/>
      <c r="O357" s="1383"/>
      <c r="P357" s="1383"/>
      <c r="Q357" s="1383"/>
      <c r="R357" s="1383"/>
      <c r="S357" s="1383"/>
      <c r="T357" s="1383"/>
      <c r="U357" s="1383"/>
      <c r="V357" s="1383"/>
      <c r="W357" s="1383"/>
      <c r="X357" s="1384"/>
      <c r="Z357" s="600">
        <f>IF(V357&gt;(H357+M357+N357),"ERRORE","")</f>
      </c>
      <c r="AA357" s="600">
        <f>IF(W357&gt;(H357+P357+Q357),"ERRORE","")</f>
      </c>
      <c r="AB357" s="600">
        <f>IF(X357&gt;(H357+S357+T357),"ERRORE","")</f>
      </c>
      <c r="AD357" s="853"/>
      <c r="AE357" s="853"/>
      <c r="AF357" s="853"/>
    </row>
    <row r="358" spans="1:32" s="585" customFormat="1" ht="27.75" customHeight="1">
      <c r="A358" s="469">
        <v>12</v>
      </c>
      <c r="B358" s="632">
        <v>2</v>
      </c>
      <c r="C358" s="632">
        <v>2</v>
      </c>
      <c r="D358" s="639">
        <v>1539</v>
      </c>
      <c r="E358" s="632">
        <v>205</v>
      </c>
      <c r="F358" s="514" t="s">
        <v>1019</v>
      </c>
      <c r="G358" s="638" t="s">
        <v>710</v>
      </c>
      <c r="H358" s="517">
        <v>4475.76</v>
      </c>
      <c r="I358" s="517"/>
      <c r="J358" s="517"/>
      <c r="K358" s="740"/>
      <c r="L358" s="740"/>
      <c r="M358" s="740"/>
      <c r="N358" s="922"/>
      <c r="O358" s="922"/>
      <c r="P358" s="922"/>
      <c r="Q358" s="937"/>
      <c r="R358" s="922"/>
      <c r="S358" s="740"/>
      <c r="T358" s="641"/>
      <c r="U358" s="642"/>
      <c r="V358" s="841">
        <f>H358+M358</f>
        <v>4475.76</v>
      </c>
      <c r="W358" s="656"/>
      <c r="X358" s="608"/>
      <c r="Z358" s="600">
        <f t="shared" si="113"/>
      </c>
      <c r="AA358" s="600">
        <f t="shared" si="114"/>
      </c>
      <c r="AB358" s="600">
        <f t="shared" si="115"/>
      </c>
      <c r="AD358" s="773"/>
      <c r="AE358" s="773"/>
      <c r="AF358" s="773"/>
    </row>
    <row r="359" spans="1:32" s="589" customFormat="1" ht="27.75" customHeight="1">
      <c r="A359" s="1363" t="s">
        <v>367</v>
      </c>
      <c r="B359" s="1364"/>
      <c r="C359" s="1364"/>
      <c r="D359" s="1364"/>
      <c r="E359" s="1364"/>
      <c r="F359" s="1364"/>
      <c r="G359" s="1365"/>
      <c r="H359" s="623">
        <f aca="true" t="shared" si="139" ref="H359:R359">SUM(H358)</f>
        <v>4475.76</v>
      </c>
      <c r="I359" s="623">
        <f t="shared" si="139"/>
        <v>0</v>
      </c>
      <c r="J359" s="623">
        <f t="shared" si="139"/>
        <v>0</v>
      </c>
      <c r="K359" s="732">
        <f t="shared" si="139"/>
        <v>0</v>
      </c>
      <c r="L359" s="732">
        <f t="shared" si="139"/>
        <v>0</v>
      </c>
      <c r="M359" s="732">
        <f t="shared" si="139"/>
        <v>0</v>
      </c>
      <c r="N359" s="732">
        <f t="shared" si="139"/>
        <v>0</v>
      </c>
      <c r="O359" s="732">
        <f t="shared" si="139"/>
        <v>0</v>
      </c>
      <c r="P359" s="732">
        <f t="shared" si="139"/>
        <v>0</v>
      </c>
      <c r="Q359" s="767">
        <f t="shared" si="139"/>
        <v>0</v>
      </c>
      <c r="R359" s="767">
        <f t="shared" si="139"/>
        <v>0</v>
      </c>
      <c r="S359" s="767">
        <f aca="true" t="shared" si="140" ref="S359:X359">SUM(S358)</f>
        <v>0</v>
      </c>
      <c r="T359" s="629">
        <f t="shared" si="140"/>
        <v>0</v>
      </c>
      <c r="U359" s="629">
        <f t="shared" si="140"/>
        <v>0</v>
      </c>
      <c r="V359" s="768">
        <f t="shared" si="140"/>
        <v>4475.76</v>
      </c>
      <c r="W359" s="654">
        <f t="shared" si="140"/>
        <v>0</v>
      </c>
      <c r="X359" s="630">
        <f t="shared" si="140"/>
        <v>0</v>
      </c>
      <c r="Z359" s="600">
        <f t="shared" si="113"/>
      </c>
      <c r="AA359" s="600">
        <f t="shared" si="114"/>
      </c>
      <c r="AB359" s="600">
        <f t="shared" si="115"/>
      </c>
      <c r="AD359" s="853"/>
      <c r="AE359" s="853"/>
      <c r="AF359" s="853"/>
    </row>
    <row r="360" spans="1:32" s="585" customFormat="1" ht="27.75" customHeight="1">
      <c r="A360" s="404">
        <v>12</v>
      </c>
      <c r="B360" s="591">
        <v>9</v>
      </c>
      <c r="C360" s="591">
        <v>2</v>
      </c>
      <c r="D360" s="327">
        <v>2140</v>
      </c>
      <c r="E360" s="590">
        <v>202</v>
      </c>
      <c r="F360" s="545" t="s">
        <v>155</v>
      </c>
      <c r="G360" s="655" t="s">
        <v>295</v>
      </c>
      <c r="H360" s="594">
        <v>14424.55</v>
      </c>
      <c r="I360" s="594"/>
      <c r="J360" s="594"/>
      <c r="K360" s="731"/>
      <c r="L360" s="731">
        <v>7233.69</v>
      </c>
      <c r="M360" s="731"/>
      <c r="N360" s="921"/>
      <c r="O360" s="921"/>
      <c r="P360" s="921"/>
      <c r="Q360" s="921"/>
      <c r="R360" s="921"/>
      <c r="S360" s="731"/>
      <c r="T360" s="598"/>
      <c r="U360" s="596"/>
      <c r="V360" s="781">
        <f>H360+M360</f>
        <v>14424.55</v>
      </c>
      <c r="W360" s="656"/>
      <c r="X360" s="608"/>
      <c r="Z360" s="600">
        <f t="shared" si="113"/>
      </c>
      <c r="AA360" s="600">
        <f t="shared" si="114"/>
      </c>
      <c r="AB360" s="600">
        <f t="shared" si="115"/>
      </c>
      <c r="AD360" s="773"/>
      <c r="AE360" s="773"/>
      <c r="AF360" s="773"/>
    </row>
    <row r="361" spans="1:32" s="585" customFormat="1" ht="27.75" customHeight="1">
      <c r="A361" s="404">
        <v>12</v>
      </c>
      <c r="B361" s="591">
        <v>9</v>
      </c>
      <c r="C361" s="591">
        <v>2</v>
      </c>
      <c r="D361" s="327">
        <v>2150</v>
      </c>
      <c r="E361" s="590">
        <v>202</v>
      </c>
      <c r="F361" s="545" t="s">
        <v>1013</v>
      </c>
      <c r="G361" s="655" t="s">
        <v>712</v>
      </c>
      <c r="H361" s="594">
        <v>41428.81</v>
      </c>
      <c r="I361" s="594"/>
      <c r="J361" s="594"/>
      <c r="K361" s="731">
        <v>37336</v>
      </c>
      <c r="L361" s="731">
        <v>18664</v>
      </c>
      <c r="M361" s="731"/>
      <c r="N361" s="921"/>
      <c r="O361" s="921"/>
      <c r="P361" s="921"/>
      <c r="Q361" s="921"/>
      <c r="R361" s="921"/>
      <c r="S361" s="731"/>
      <c r="T361" s="598"/>
      <c r="U361" s="637"/>
      <c r="V361" s="781">
        <f>H361+M361</f>
        <v>41428.81</v>
      </c>
      <c r="W361" s="656"/>
      <c r="X361" s="608"/>
      <c r="Z361" s="600"/>
      <c r="AA361" s="600"/>
      <c r="AB361" s="600"/>
      <c r="AD361" s="773"/>
      <c r="AE361" s="773"/>
      <c r="AF361" s="773"/>
    </row>
    <row r="362" spans="1:32" s="585" customFormat="1" ht="27.75" customHeight="1">
      <c r="A362" s="404">
        <v>12</v>
      </c>
      <c r="B362" s="591">
        <v>9</v>
      </c>
      <c r="C362" s="591">
        <v>2</v>
      </c>
      <c r="D362" s="327">
        <v>2155</v>
      </c>
      <c r="E362" s="590">
        <v>202</v>
      </c>
      <c r="F362" s="545" t="s">
        <v>1013</v>
      </c>
      <c r="G362" s="655" t="s">
        <v>916</v>
      </c>
      <c r="H362" s="594">
        <v>0</v>
      </c>
      <c r="I362" s="594"/>
      <c r="J362" s="594"/>
      <c r="K362" s="731">
        <v>60000</v>
      </c>
      <c r="L362" s="731"/>
      <c r="M362" s="731"/>
      <c r="N362" s="921"/>
      <c r="O362" s="921"/>
      <c r="P362" s="921"/>
      <c r="Q362" s="921"/>
      <c r="R362" s="921"/>
      <c r="S362" s="731"/>
      <c r="T362" s="598"/>
      <c r="U362" s="637"/>
      <c r="V362" s="781">
        <f>H362+M362</f>
        <v>0</v>
      </c>
      <c r="W362" s="656"/>
      <c r="X362" s="608"/>
      <c r="Z362" s="600"/>
      <c r="AA362" s="600"/>
      <c r="AB362" s="600"/>
      <c r="AD362" s="773"/>
      <c r="AE362" s="773"/>
      <c r="AF362" s="773"/>
    </row>
    <row r="363" spans="1:32" s="585" customFormat="1" ht="27.75" customHeight="1">
      <c r="A363" s="404">
        <v>12</v>
      </c>
      <c r="B363" s="591">
        <v>9</v>
      </c>
      <c r="C363" s="591">
        <v>2</v>
      </c>
      <c r="D363" s="327">
        <v>2160</v>
      </c>
      <c r="E363" s="590">
        <v>202</v>
      </c>
      <c r="F363" s="545" t="s">
        <v>155</v>
      </c>
      <c r="G363" s="655" t="s">
        <v>713</v>
      </c>
      <c r="H363" s="594">
        <v>1945.32</v>
      </c>
      <c r="I363" s="594"/>
      <c r="J363" s="594"/>
      <c r="K363" s="731"/>
      <c r="L363" s="731">
        <v>133518.35</v>
      </c>
      <c r="M363" s="731"/>
      <c r="N363" s="921"/>
      <c r="O363" s="921"/>
      <c r="P363" s="921"/>
      <c r="Q363" s="921"/>
      <c r="R363" s="921"/>
      <c r="S363" s="731"/>
      <c r="T363" s="598"/>
      <c r="U363" s="621"/>
      <c r="V363" s="781">
        <f>H363+M363</f>
        <v>1945.32</v>
      </c>
      <c r="W363" s="656"/>
      <c r="X363" s="608"/>
      <c r="Z363" s="600">
        <f>IF(V363&gt;(H363+M363+N363),"ERRORE","")</f>
      </c>
      <c r="AA363" s="600">
        <f>IF(W363&gt;(H363+P363+Q363),"ERRORE","")</f>
      </c>
      <c r="AB363" s="600">
        <f>IF(X363&gt;(H363+S363+T363),"ERRORE","")</f>
      </c>
      <c r="AD363" s="773"/>
      <c r="AE363" s="773"/>
      <c r="AF363" s="773"/>
    </row>
    <row r="364" spans="1:32" s="585" customFormat="1" ht="27.75" customHeight="1" thickBot="1">
      <c r="A364" s="1360" t="s">
        <v>347</v>
      </c>
      <c r="B364" s="1361"/>
      <c r="C364" s="1361"/>
      <c r="D364" s="1361"/>
      <c r="E364" s="1361"/>
      <c r="F364" s="1361"/>
      <c r="G364" s="1362"/>
      <c r="H364" s="623">
        <f>SUM(H360:H363)</f>
        <v>57798.68</v>
      </c>
      <c r="I364" s="623">
        <f aca="true" t="shared" si="141" ref="I364:S364">SUM(I360:I363)</f>
        <v>0</v>
      </c>
      <c r="J364" s="623">
        <f t="shared" si="141"/>
        <v>0</v>
      </c>
      <c r="K364" s="623">
        <f t="shared" si="141"/>
        <v>97336</v>
      </c>
      <c r="L364" s="623">
        <f t="shared" si="141"/>
        <v>159416.04</v>
      </c>
      <c r="M364" s="623">
        <f t="shared" si="141"/>
        <v>0</v>
      </c>
      <c r="N364" s="623">
        <f t="shared" si="141"/>
        <v>0</v>
      </c>
      <c r="O364" s="623">
        <f t="shared" si="141"/>
        <v>0</v>
      </c>
      <c r="P364" s="623">
        <f t="shared" si="141"/>
        <v>0</v>
      </c>
      <c r="Q364" s="623">
        <f t="shared" si="141"/>
        <v>0</v>
      </c>
      <c r="R364" s="623">
        <f t="shared" si="141"/>
        <v>0</v>
      </c>
      <c r="S364" s="623">
        <f t="shared" si="141"/>
        <v>0</v>
      </c>
      <c r="T364" s="623">
        <f>SUM(T360:T363)</f>
        <v>0</v>
      </c>
      <c r="U364" s="629">
        <f>SUM(U360:U363)</f>
        <v>0</v>
      </c>
      <c r="V364" s="1104">
        <f>SUM(V360:V363)</f>
        <v>57798.68</v>
      </c>
      <c r="W364" s="654">
        <f>SUM(W360:W360)</f>
        <v>0</v>
      </c>
      <c r="X364" s="630">
        <f>SUM(X360:X360)</f>
        <v>0</v>
      </c>
      <c r="Z364" s="600">
        <f t="shared" si="113"/>
      </c>
      <c r="AA364" s="600">
        <f t="shared" si="114"/>
      </c>
      <c r="AB364" s="600">
        <f t="shared" si="115"/>
      </c>
      <c r="AD364" s="773"/>
      <c r="AE364" s="773"/>
      <c r="AF364" s="773"/>
    </row>
    <row r="365" spans="1:32" s="853" customFormat="1" ht="21" customHeight="1" thickBot="1">
      <c r="A365" s="1336" t="s">
        <v>70</v>
      </c>
      <c r="B365" s="1337"/>
      <c r="C365" s="1337"/>
      <c r="D365" s="1337"/>
      <c r="E365" s="1337"/>
      <c r="F365" s="1337"/>
      <c r="G365" s="1338"/>
      <c r="H365" s="738">
        <f>H359+H364</f>
        <v>62274.44</v>
      </c>
      <c r="I365" s="738">
        <f aca="true" t="shared" si="142" ref="I365:O365">I359+I364</f>
        <v>0</v>
      </c>
      <c r="J365" s="738">
        <f t="shared" si="142"/>
        <v>0</v>
      </c>
      <c r="K365" s="738">
        <f t="shared" si="142"/>
        <v>97336</v>
      </c>
      <c r="L365" s="738">
        <f t="shared" si="142"/>
        <v>159416.04</v>
      </c>
      <c r="M365" s="738">
        <f t="shared" si="142"/>
        <v>0</v>
      </c>
      <c r="N365" s="738">
        <f t="shared" si="142"/>
        <v>0</v>
      </c>
      <c r="O365" s="738">
        <f t="shared" si="142"/>
        <v>0</v>
      </c>
      <c r="P365" s="738">
        <f aca="true" t="shared" si="143" ref="P365:X365">P359+P364</f>
        <v>0</v>
      </c>
      <c r="Q365" s="738">
        <f t="shared" si="143"/>
        <v>0</v>
      </c>
      <c r="R365" s="738">
        <f t="shared" si="143"/>
        <v>0</v>
      </c>
      <c r="S365" s="738">
        <f t="shared" si="143"/>
        <v>0</v>
      </c>
      <c r="T365" s="738">
        <f t="shared" si="143"/>
        <v>0</v>
      </c>
      <c r="U365" s="738">
        <f t="shared" si="143"/>
        <v>0</v>
      </c>
      <c r="V365" s="738">
        <f t="shared" si="143"/>
        <v>62274.44</v>
      </c>
      <c r="W365" s="738">
        <f t="shared" si="143"/>
        <v>0</v>
      </c>
      <c r="X365" s="738">
        <f t="shared" si="143"/>
        <v>0</v>
      </c>
      <c r="Z365" s="788">
        <f>IF(V365&gt;(H365+M365+N365),"ERRORE","")</f>
      </c>
      <c r="AA365" s="788">
        <f>IF(W365&gt;(H365+P365+Q365),"ERRORE","")</f>
      </c>
      <c r="AB365" s="788">
        <f>IF(X365&gt;(H365+S365+T365),"ERRORE","")</f>
      </c>
      <c r="AD365" s="854"/>
      <c r="AF365" s="854"/>
    </row>
    <row r="366" spans="1:32" s="589" customFormat="1" ht="21" customHeight="1" thickBot="1">
      <c r="A366" s="1368" t="s">
        <v>348</v>
      </c>
      <c r="B366" s="1369"/>
      <c r="C366" s="1369"/>
      <c r="D366" s="1369"/>
      <c r="E366" s="1369"/>
      <c r="F366" s="1369"/>
      <c r="G366" s="1370"/>
      <c r="H366" s="1382"/>
      <c r="I366" s="1383"/>
      <c r="J366" s="1383"/>
      <c r="K366" s="1383"/>
      <c r="L366" s="1383"/>
      <c r="M366" s="1383"/>
      <c r="N366" s="1383"/>
      <c r="O366" s="1383"/>
      <c r="P366" s="1383"/>
      <c r="Q366" s="1383"/>
      <c r="R366" s="1383"/>
      <c r="S366" s="1383"/>
      <c r="T366" s="1383"/>
      <c r="U366" s="1383"/>
      <c r="V366" s="1383"/>
      <c r="W366" s="1383"/>
      <c r="X366" s="1384"/>
      <c r="Z366" s="600">
        <f>IF(V366&gt;(H366+M366+N366),"ERRORE","")</f>
      </c>
      <c r="AA366" s="600">
        <f>IF(W366&gt;(H366+P366+Q366),"ERRORE","")</f>
      </c>
      <c r="AB366" s="600">
        <f>IF(X366&gt;(H366+S366+T366),"ERRORE","")</f>
      </c>
      <c r="AD366" s="853"/>
      <c r="AE366" s="853"/>
      <c r="AF366" s="853"/>
    </row>
    <row r="367" spans="1:32" s="585" customFormat="1" ht="27.75" customHeight="1" hidden="1">
      <c r="A367" s="404">
        <v>14</v>
      </c>
      <c r="B367" s="591">
        <v>2</v>
      </c>
      <c r="C367" s="591">
        <v>2</v>
      </c>
      <c r="D367" s="327"/>
      <c r="E367" s="590"/>
      <c r="F367" s="545"/>
      <c r="G367" s="655"/>
      <c r="H367" s="594"/>
      <c r="I367" s="594"/>
      <c r="J367" s="594"/>
      <c r="K367" s="731"/>
      <c r="L367" s="731"/>
      <c r="M367" s="731"/>
      <c r="N367" s="595"/>
      <c r="O367" s="595"/>
      <c r="P367" s="595"/>
      <c r="Q367" s="596"/>
      <c r="R367" s="595"/>
      <c r="S367" s="593"/>
      <c r="T367" s="598"/>
      <c r="U367" s="633"/>
      <c r="V367" s="832"/>
      <c r="W367" s="656"/>
      <c r="X367" s="608"/>
      <c r="Z367" s="600">
        <f t="shared" si="113"/>
      </c>
      <c r="AA367" s="600">
        <f t="shared" si="114"/>
      </c>
      <c r="AB367" s="600">
        <f t="shared" si="115"/>
      </c>
      <c r="AD367" s="773"/>
      <c r="AE367" s="773"/>
      <c r="AF367" s="773"/>
    </row>
    <row r="368" spans="1:32" s="585" customFormat="1" ht="27.75" customHeight="1" hidden="1">
      <c r="A368" s="415">
        <v>14</v>
      </c>
      <c r="B368" s="609">
        <v>2</v>
      </c>
      <c r="C368" s="609">
        <v>2</v>
      </c>
      <c r="D368" s="603"/>
      <c r="E368" s="602"/>
      <c r="F368" s="546"/>
      <c r="G368" s="610"/>
      <c r="H368" s="605"/>
      <c r="I368" s="605"/>
      <c r="J368" s="605"/>
      <c r="K368" s="728"/>
      <c r="L368" s="728"/>
      <c r="M368" s="728"/>
      <c r="N368" s="606"/>
      <c r="O368" s="606"/>
      <c r="P368" s="606"/>
      <c r="Q368" s="606"/>
      <c r="R368" s="606"/>
      <c r="S368" s="604"/>
      <c r="T368" s="607"/>
      <c r="U368" s="608"/>
      <c r="V368" s="778"/>
      <c r="W368" s="656"/>
      <c r="X368" s="608"/>
      <c r="Z368" s="600">
        <f t="shared" si="113"/>
      </c>
      <c r="AA368" s="600">
        <f t="shared" si="114"/>
      </c>
      <c r="AB368" s="600">
        <f t="shared" si="115"/>
      </c>
      <c r="AD368" s="773"/>
      <c r="AE368" s="773"/>
      <c r="AF368" s="773"/>
    </row>
    <row r="369" spans="1:32" s="585" customFormat="1" ht="27.75" customHeight="1" hidden="1">
      <c r="A369" s="453">
        <v>14</v>
      </c>
      <c r="B369" s="613">
        <v>2</v>
      </c>
      <c r="C369" s="613">
        <v>2</v>
      </c>
      <c r="D369" s="619"/>
      <c r="E369" s="611"/>
      <c r="F369" s="612"/>
      <c r="G369" s="628"/>
      <c r="H369" s="614"/>
      <c r="I369" s="614"/>
      <c r="J369" s="614"/>
      <c r="K369" s="729"/>
      <c r="L369" s="729"/>
      <c r="M369" s="729"/>
      <c r="N369" s="616"/>
      <c r="O369" s="616"/>
      <c r="P369" s="616"/>
      <c r="Q369" s="616"/>
      <c r="R369" s="616"/>
      <c r="S369" s="615"/>
      <c r="T369" s="617"/>
      <c r="U369" s="618"/>
      <c r="V369" s="801"/>
      <c r="W369" s="656"/>
      <c r="X369" s="608"/>
      <c r="Z369" s="600">
        <f t="shared" si="113"/>
      </c>
      <c r="AA369" s="600">
        <f t="shared" si="114"/>
      </c>
      <c r="AB369" s="600">
        <f t="shared" si="115"/>
      </c>
      <c r="AD369" s="773"/>
      <c r="AE369" s="773"/>
      <c r="AF369" s="773"/>
    </row>
    <row r="370" spans="1:32" s="585" customFormat="1" ht="27.75" customHeight="1" hidden="1">
      <c r="A370" s="453">
        <v>14</v>
      </c>
      <c r="B370" s="613">
        <v>2</v>
      </c>
      <c r="C370" s="613">
        <v>2</v>
      </c>
      <c r="D370" s="619"/>
      <c r="E370" s="611"/>
      <c r="F370" s="612"/>
      <c r="G370" s="628"/>
      <c r="H370" s="614"/>
      <c r="I370" s="614"/>
      <c r="J370" s="614"/>
      <c r="K370" s="729"/>
      <c r="L370" s="729"/>
      <c r="M370" s="729"/>
      <c r="N370" s="616"/>
      <c r="O370" s="616"/>
      <c r="P370" s="616"/>
      <c r="Q370" s="616"/>
      <c r="R370" s="616"/>
      <c r="S370" s="615"/>
      <c r="T370" s="617"/>
      <c r="U370" s="618"/>
      <c r="V370" s="801"/>
      <c r="W370" s="656"/>
      <c r="X370" s="608"/>
      <c r="Z370" s="600">
        <f t="shared" si="113"/>
      </c>
      <c r="AA370" s="600">
        <f t="shared" si="114"/>
      </c>
      <c r="AB370" s="600">
        <f t="shared" si="115"/>
      </c>
      <c r="AD370" s="773"/>
      <c r="AE370" s="773"/>
      <c r="AF370" s="773"/>
    </row>
    <row r="371" spans="1:32" s="585" customFormat="1" ht="27.75" customHeight="1" hidden="1">
      <c r="A371" s="453">
        <v>14</v>
      </c>
      <c r="B371" s="613">
        <v>2</v>
      </c>
      <c r="C371" s="613">
        <v>2</v>
      </c>
      <c r="D371" s="619"/>
      <c r="E371" s="611"/>
      <c r="F371" s="612"/>
      <c r="G371" s="628"/>
      <c r="H371" s="614"/>
      <c r="I371" s="614"/>
      <c r="J371" s="614"/>
      <c r="K371" s="729"/>
      <c r="L371" s="729"/>
      <c r="M371" s="729"/>
      <c r="N371" s="616"/>
      <c r="O371" s="616"/>
      <c r="P371" s="616"/>
      <c r="Q371" s="622"/>
      <c r="R371" s="616"/>
      <c r="S371" s="615"/>
      <c r="T371" s="617"/>
      <c r="U371" s="634"/>
      <c r="V371" s="801"/>
      <c r="W371" s="656"/>
      <c r="X371" s="608"/>
      <c r="Z371" s="600">
        <f t="shared" si="113"/>
      </c>
      <c r="AA371" s="600">
        <f t="shared" si="114"/>
      </c>
      <c r="AB371" s="600">
        <f t="shared" si="115"/>
      </c>
      <c r="AD371" s="773"/>
      <c r="AE371" s="773"/>
      <c r="AF371" s="773"/>
    </row>
    <row r="372" spans="1:28" ht="27" customHeight="1" thickBot="1">
      <c r="A372" s="1356" t="s">
        <v>368</v>
      </c>
      <c r="B372" s="1357"/>
      <c r="C372" s="1357"/>
      <c r="D372" s="1357"/>
      <c r="E372" s="1357"/>
      <c r="F372" s="1357"/>
      <c r="G372" s="1357"/>
      <c r="H372" s="623">
        <f aca="true" t="shared" si="144" ref="H372:R372">SUM(H367:H371)</f>
        <v>0</v>
      </c>
      <c r="I372" s="623">
        <f t="shared" si="144"/>
        <v>0</v>
      </c>
      <c r="J372" s="623">
        <f t="shared" si="144"/>
        <v>0</v>
      </c>
      <c r="K372" s="730">
        <f t="shared" si="144"/>
        <v>0</v>
      </c>
      <c r="L372" s="730">
        <f t="shared" si="144"/>
        <v>0</v>
      </c>
      <c r="M372" s="730">
        <f t="shared" si="144"/>
        <v>0</v>
      </c>
      <c r="N372" s="624">
        <f t="shared" si="144"/>
        <v>0</v>
      </c>
      <c r="O372" s="624">
        <f t="shared" si="144"/>
        <v>0</v>
      </c>
      <c r="P372" s="624">
        <f t="shared" si="144"/>
        <v>0</v>
      </c>
      <c r="Q372" s="625">
        <f t="shared" si="144"/>
        <v>0</v>
      </c>
      <c r="R372" s="625">
        <f t="shared" si="144"/>
        <v>0</v>
      </c>
      <c r="S372" s="625">
        <f aca="true" t="shared" si="145" ref="S372:X372">SUM(S367:S371)</f>
        <v>0</v>
      </c>
      <c r="T372" s="625">
        <f t="shared" si="145"/>
        <v>0</v>
      </c>
      <c r="U372" s="625">
        <f t="shared" si="145"/>
        <v>0</v>
      </c>
      <c r="V372" s="833">
        <f t="shared" si="145"/>
        <v>0</v>
      </c>
      <c r="W372" s="658">
        <f t="shared" si="145"/>
        <v>0</v>
      </c>
      <c r="X372" s="626">
        <f t="shared" si="145"/>
        <v>0</v>
      </c>
      <c r="Z372" s="600">
        <f t="shared" si="113"/>
      </c>
      <c r="AA372" s="600">
        <f t="shared" si="114"/>
      </c>
      <c r="AB372" s="600">
        <f t="shared" si="115"/>
      </c>
    </row>
    <row r="373" spans="1:28" s="853" customFormat="1" ht="21" customHeight="1" thickBot="1">
      <c r="A373" s="1336" t="s">
        <v>349</v>
      </c>
      <c r="B373" s="1337"/>
      <c r="C373" s="1337"/>
      <c r="D373" s="1337"/>
      <c r="E373" s="1337"/>
      <c r="F373" s="1337"/>
      <c r="G373" s="1338"/>
      <c r="H373" s="738">
        <f>H372</f>
        <v>0</v>
      </c>
      <c r="I373" s="738">
        <f aca="true" t="shared" si="146" ref="I373:O373">I372</f>
        <v>0</v>
      </c>
      <c r="J373" s="738">
        <f t="shared" si="146"/>
        <v>0</v>
      </c>
      <c r="K373" s="738">
        <f t="shared" si="146"/>
        <v>0</v>
      </c>
      <c r="L373" s="738">
        <f t="shared" si="146"/>
        <v>0</v>
      </c>
      <c r="M373" s="738">
        <f t="shared" si="146"/>
        <v>0</v>
      </c>
      <c r="N373" s="738">
        <f t="shared" si="146"/>
        <v>0</v>
      </c>
      <c r="O373" s="738">
        <f t="shared" si="146"/>
        <v>0</v>
      </c>
      <c r="P373" s="738">
        <f aca="true" t="shared" si="147" ref="P373:X373">P372</f>
        <v>0</v>
      </c>
      <c r="Q373" s="738">
        <f t="shared" si="147"/>
        <v>0</v>
      </c>
      <c r="R373" s="738">
        <f t="shared" si="147"/>
        <v>0</v>
      </c>
      <c r="S373" s="738">
        <f t="shared" si="147"/>
        <v>0</v>
      </c>
      <c r="T373" s="738">
        <f t="shared" si="147"/>
        <v>0</v>
      </c>
      <c r="U373" s="738">
        <f t="shared" si="147"/>
        <v>0</v>
      </c>
      <c r="V373" s="738">
        <f t="shared" si="147"/>
        <v>0</v>
      </c>
      <c r="W373" s="738">
        <f t="shared" si="147"/>
        <v>0</v>
      </c>
      <c r="X373" s="738">
        <f t="shared" si="147"/>
        <v>0</v>
      </c>
      <c r="Z373" s="788">
        <f>IF(V373&gt;(H373+M373+N373),"ERRORE","")</f>
      </c>
      <c r="AA373" s="788">
        <f>IF(W373&gt;(H373+P373+Q373),"ERRORE","")</f>
      </c>
      <c r="AB373" s="788">
        <f>IF(X373&gt;(H373+S373+T373),"ERRORE","")</f>
      </c>
    </row>
    <row r="374" spans="1:32" s="650" customFormat="1" ht="34.5" customHeight="1" thickBot="1">
      <c r="A374" s="1366" t="s">
        <v>75</v>
      </c>
      <c r="B374" s="1367"/>
      <c r="C374" s="1367"/>
      <c r="D374" s="1367"/>
      <c r="E374" s="1367"/>
      <c r="F374" s="1367"/>
      <c r="G374" s="1367"/>
      <c r="H374" s="1079">
        <f aca="true" t="shared" si="148" ref="H374:X374">H271+H284+H289+H304+H311+H323+H349+H356+H365+H373</f>
        <v>4334006.15</v>
      </c>
      <c r="I374" s="1079" t="e">
        <f t="shared" si="148"/>
        <v>#REF!</v>
      </c>
      <c r="J374" s="1079" t="e">
        <f t="shared" si="148"/>
        <v>#REF!</v>
      </c>
      <c r="K374" s="1079">
        <f t="shared" si="148"/>
        <v>4469341</v>
      </c>
      <c r="L374" s="1079">
        <f t="shared" si="148"/>
        <v>919050.9300000002</v>
      </c>
      <c r="M374" s="1079">
        <f t="shared" si="148"/>
        <v>846500</v>
      </c>
      <c r="N374" s="1079">
        <f t="shared" si="148"/>
        <v>0</v>
      </c>
      <c r="O374" s="1079">
        <f t="shared" si="148"/>
        <v>0</v>
      </c>
      <c r="P374" s="1079">
        <f t="shared" si="148"/>
        <v>1197000</v>
      </c>
      <c r="Q374" s="1079">
        <f t="shared" si="148"/>
        <v>0</v>
      </c>
      <c r="R374" s="1079">
        <f t="shared" si="148"/>
        <v>0</v>
      </c>
      <c r="S374" s="1079">
        <f t="shared" si="148"/>
        <v>252000</v>
      </c>
      <c r="T374" s="1079">
        <f t="shared" si="148"/>
        <v>0</v>
      </c>
      <c r="U374" s="1079">
        <f t="shared" si="148"/>
        <v>0</v>
      </c>
      <c r="V374" s="1066">
        <f t="shared" si="148"/>
        <v>5180506.15</v>
      </c>
      <c r="W374" s="430">
        <f t="shared" si="148"/>
        <v>0</v>
      </c>
      <c r="X374" s="430">
        <f t="shared" si="148"/>
        <v>0</v>
      </c>
      <c r="Z374" s="600">
        <f t="shared" si="113"/>
      </c>
      <c r="AA374" s="600">
        <f t="shared" si="114"/>
      </c>
      <c r="AB374" s="600">
        <f t="shared" si="115"/>
      </c>
      <c r="AD374" s="851"/>
      <c r="AE374" s="859"/>
      <c r="AF374" s="851"/>
    </row>
    <row r="375" spans="1:32" s="650" customFormat="1" ht="34.5" customHeight="1" thickBot="1">
      <c r="A375" s="681"/>
      <c r="B375" s="586"/>
      <c r="C375" s="586"/>
      <c r="D375" s="586"/>
      <c r="E375" s="586"/>
      <c r="F375" s="586"/>
      <c r="G375" s="586"/>
      <c r="H375" s="1296"/>
      <c r="I375" s="524"/>
      <c r="J375" s="524"/>
      <c r="K375" s="1103"/>
      <c r="L375" s="1048"/>
      <c r="M375" s="1048"/>
      <c r="N375" s="524"/>
      <c r="O375" s="524"/>
      <c r="P375" s="524"/>
      <c r="Q375" s="524"/>
      <c r="R375" s="524"/>
      <c r="S375" s="524"/>
      <c r="T375" s="524"/>
      <c r="U375" s="524"/>
      <c r="V375" s="1103"/>
      <c r="W375" s="524"/>
      <c r="X375" s="524"/>
      <c r="Y375" s="433"/>
      <c r="Z375" s="600">
        <f t="shared" si="113"/>
      </c>
      <c r="AA375" s="600">
        <f t="shared" si="114"/>
      </c>
      <c r="AB375" s="600">
        <f t="shared" si="115"/>
      </c>
      <c r="AD375" s="857"/>
      <c r="AE375" s="859"/>
      <c r="AF375" s="857"/>
    </row>
    <row r="376" spans="1:32" s="651" customFormat="1" ht="34.5" customHeight="1" thickBot="1">
      <c r="A376" s="1353" t="s">
        <v>225</v>
      </c>
      <c r="B376" s="1354"/>
      <c r="C376" s="1354"/>
      <c r="D376" s="1354"/>
      <c r="E376" s="1354"/>
      <c r="F376" s="1354"/>
      <c r="G376" s="1354"/>
      <c r="H376" s="1354"/>
      <c r="I376" s="1354"/>
      <c r="J376" s="1354"/>
      <c r="K376" s="1354"/>
      <c r="L376" s="1354"/>
      <c r="M376" s="1354"/>
      <c r="N376" s="1354"/>
      <c r="O376" s="1354"/>
      <c r="P376" s="1354"/>
      <c r="Q376" s="1354"/>
      <c r="R376" s="1354"/>
      <c r="S376" s="1354"/>
      <c r="T376" s="1354"/>
      <c r="U376" s="1354"/>
      <c r="V376" s="1354"/>
      <c r="W376" s="1354"/>
      <c r="X376" s="1355"/>
      <c r="Z376" s="600">
        <f t="shared" si="113"/>
      </c>
      <c r="AA376" s="600">
        <f t="shared" si="114"/>
      </c>
      <c r="AB376" s="600">
        <f t="shared" si="115"/>
      </c>
      <c r="AD376" s="856"/>
      <c r="AE376" s="856"/>
      <c r="AF376" s="856"/>
    </row>
    <row r="377" spans="1:32" s="588" customFormat="1" ht="57" customHeight="1">
      <c r="A377" s="682" t="str">
        <f>A5</f>
        <v>Missione</v>
      </c>
      <c r="B377" s="525" t="str">
        <f>B5</f>
        <v>Programma</v>
      </c>
      <c r="C377" s="525" t="str">
        <f>C5</f>
        <v>Titolo</v>
      </c>
      <c r="D377" s="525" t="str">
        <f>D5</f>
        <v>Capitolo</v>
      </c>
      <c r="E377" s="683"/>
      <c r="F377" s="525" t="str">
        <f aca="true" t="shared" si="149" ref="F377:M377">F5</f>
        <v>Piano dei conti</v>
      </c>
      <c r="G377" s="485" t="str">
        <f t="shared" si="149"/>
        <v>DESCRIZIONE</v>
      </c>
      <c r="H377" s="525" t="str">
        <f t="shared" si="149"/>
        <v>RESIDUI PRESUNTI AL 31.12.2020                 AL 12.01.2021</v>
      </c>
      <c r="I377" s="525" t="str">
        <f t="shared" si="149"/>
        <v>PREVISIONE INIZIALE 2018</v>
      </c>
      <c r="J377" s="525" t="str">
        <f t="shared" si="149"/>
        <v>IMPEGNI 2018 ALLA DATA DEL </v>
      </c>
      <c r="K377" s="750" t="str">
        <f t="shared" si="149"/>
        <v>PREVISIONE 2020          al 12.01.2021</v>
      </c>
      <c r="L377" s="750" t="str">
        <f t="shared" si="149"/>
        <v>PREVISIONE 2020                    (solo FPV)</v>
      </c>
      <c r="M377" s="750" t="str">
        <f t="shared" si="149"/>
        <v>PREVISIONE 2021</v>
      </c>
      <c r="N377" s="525"/>
      <c r="O377" s="525"/>
      <c r="P377" s="525" t="str">
        <f>P5</f>
        <v>PREVISIONE 2022</v>
      </c>
      <c r="Q377" s="525"/>
      <c r="R377" s="525"/>
      <c r="S377" s="525" t="str">
        <f>S5</f>
        <v>PREVISIONE 2023</v>
      </c>
      <c r="T377" s="486"/>
      <c r="U377" s="486"/>
      <c r="V377" s="812" t="str">
        <f>V5</f>
        <v>PEVISIONE DI CASSA 2021</v>
      </c>
      <c r="W377" s="399" t="str">
        <f>W5</f>
        <v>PEVISIONE DI CASSA 2021</v>
      </c>
      <c r="X377" s="536" t="str">
        <f>X5</f>
        <v>PEVISIONE DI CASSA 2022</v>
      </c>
      <c r="Z377" s="600"/>
      <c r="AA377" s="600"/>
      <c r="AB377" s="600"/>
      <c r="AD377" s="852"/>
      <c r="AE377" s="852"/>
      <c r="AF377" s="852"/>
    </row>
    <row r="378" spans="1:32" s="687" customFormat="1" ht="34.5" customHeight="1">
      <c r="A378" s="1298">
        <v>1</v>
      </c>
      <c r="B378" s="923">
        <v>11</v>
      </c>
      <c r="C378" s="923">
        <v>3</v>
      </c>
      <c r="D378" s="923">
        <v>3005</v>
      </c>
      <c r="E378" s="591"/>
      <c r="F378" s="545" t="s">
        <v>980</v>
      </c>
      <c r="G378" s="668" t="s">
        <v>4</v>
      </c>
      <c r="H378" s="517"/>
      <c r="I378" s="517"/>
      <c r="J378" s="517"/>
      <c r="K378" s="751"/>
      <c r="L378" s="751"/>
      <c r="M378" s="751">
        <v>200000</v>
      </c>
      <c r="N378" s="517"/>
      <c r="O378" s="517"/>
      <c r="P378" s="517"/>
      <c r="Q378" s="517"/>
      <c r="R378" s="517"/>
      <c r="S378" s="517"/>
      <c r="T378" s="518"/>
      <c r="U378" s="519"/>
      <c r="V378" s="844">
        <f>H378+M378</f>
        <v>200000</v>
      </c>
      <c r="W378" s="685"/>
      <c r="X378" s="686"/>
      <c r="Z378" s="600">
        <f t="shared" si="113"/>
      </c>
      <c r="AA378" s="600">
        <f t="shared" si="114"/>
      </c>
      <c r="AB378" s="600">
        <f t="shared" si="115"/>
      </c>
      <c r="AD378" s="858"/>
      <c r="AE378" s="858"/>
      <c r="AF378" s="858"/>
    </row>
    <row r="379" spans="1:32" s="687" customFormat="1" ht="34.5" customHeight="1" hidden="1">
      <c r="A379" s="684"/>
      <c r="B379" s="545"/>
      <c r="C379" s="545"/>
      <c r="D379" s="545"/>
      <c r="E379" s="591"/>
      <c r="F379" s="545"/>
      <c r="G379" s="668"/>
      <c r="H379" s="605"/>
      <c r="I379" s="605"/>
      <c r="J379" s="605"/>
      <c r="K379" s="727"/>
      <c r="L379" s="727"/>
      <c r="M379" s="727"/>
      <c r="N379" s="605"/>
      <c r="O379" s="605"/>
      <c r="P379" s="605"/>
      <c r="Q379" s="605"/>
      <c r="R379" s="605"/>
      <c r="S379" s="605"/>
      <c r="T379" s="666"/>
      <c r="U379" s="666"/>
      <c r="V379" s="797"/>
      <c r="W379" s="688"/>
      <c r="X379" s="667"/>
      <c r="Z379" s="600">
        <f t="shared" si="113"/>
      </c>
      <c r="AA379" s="600">
        <f t="shared" si="114"/>
      </c>
      <c r="AB379" s="600">
        <f t="shared" si="115"/>
      </c>
      <c r="AD379" s="858"/>
      <c r="AE379" s="858"/>
      <c r="AF379" s="858"/>
    </row>
    <row r="380" spans="1:32" s="687" customFormat="1" ht="34.5" customHeight="1" hidden="1">
      <c r="A380" s="684"/>
      <c r="B380" s="545"/>
      <c r="C380" s="545"/>
      <c r="D380" s="545"/>
      <c r="E380" s="591"/>
      <c r="F380" s="545"/>
      <c r="G380" s="668"/>
      <c r="H380" s="605"/>
      <c r="I380" s="605"/>
      <c r="J380" s="605"/>
      <c r="K380" s="727"/>
      <c r="L380" s="727"/>
      <c r="M380" s="727"/>
      <c r="N380" s="605"/>
      <c r="O380" s="605"/>
      <c r="P380" s="605"/>
      <c r="Q380" s="605"/>
      <c r="R380" s="605"/>
      <c r="S380" s="605"/>
      <c r="T380" s="666"/>
      <c r="U380" s="666"/>
      <c r="V380" s="797"/>
      <c r="W380" s="688"/>
      <c r="X380" s="667"/>
      <c r="Z380" s="600">
        <f t="shared" si="113"/>
      </c>
      <c r="AA380" s="600">
        <f t="shared" si="114"/>
      </c>
      <c r="AB380" s="600">
        <f t="shared" si="115"/>
      </c>
      <c r="AD380" s="858"/>
      <c r="AE380" s="858"/>
      <c r="AF380" s="858"/>
    </row>
    <row r="381" spans="1:32" s="687" customFormat="1" ht="34.5" customHeight="1" hidden="1">
      <c r="A381" s="684"/>
      <c r="B381" s="545"/>
      <c r="C381" s="545"/>
      <c r="D381" s="545"/>
      <c r="E381" s="591"/>
      <c r="F381" s="545"/>
      <c r="G381" s="668"/>
      <c r="H381" s="605"/>
      <c r="I381" s="605"/>
      <c r="J381" s="605"/>
      <c r="K381" s="727"/>
      <c r="L381" s="727"/>
      <c r="M381" s="727"/>
      <c r="N381" s="605"/>
      <c r="O381" s="605"/>
      <c r="P381" s="605"/>
      <c r="Q381" s="605"/>
      <c r="R381" s="605"/>
      <c r="S381" s="605"/>
      <c r="T381" s="666"/>
      <c r="U381" s="666"/>
      <c r="V381" s="797"/>
      <c r="W381" s="688"/>
      <c r="X381" s="667"/>
      <c r="Z381" s="600">
        <f t="shared" si="113"/>
      </c>
      <c r="AA381" s="600">
        <f t="shared" si="114"/>
      </c>
      <c r="AB381" s="600">
        <f t="shared" si="115"/>
      </c>
      <c r="AD381" s="858"/>
      <c r="AE381" s="858"/>
      <c r="AF381" s="858"/>
    </row>
    <row r="382" spans="1:32" s="687" customFormat="1" ht="34.5" customHeight="1" hidden="1">
      <c r="A382" s="689"/>
      <c r="B382" s="690"/>
      <c r="C382" s="690"/>
      <c r="D382" s="690"/>
      <c r="E382" s="691"/>
      <c r="F382" s="690"/>
      <c r="G382" s="692"/>
      <c r="H382" s="517"/>
      <c r="I382" s="517"/>
      <c r="J382" s="517"/>
      <c r="K382" s="751"/>
      <c r="L382" s="751"/>
      <c r="M382" s="751"/>
      <c r="N382" s="517"/>
      <c r="O382" s="517"/>
      <c r="P382" s="517"/>
      <c r="Q382" s="517"/>
      <c r="R382" s="517"/>
      <c r="S382" s="517"/>
      <c r="T382" s="518"/>
      <c r="U382" s="693"/>
      <c r="V382" s="846"/>
      <c r="W382" s="685"/>
      <c r="X382" s="694"/>
      <c r="Z382" s="600">
        <f t="shared" si="113"/>
      </c>
      <c r="AA382" s="600">
        <f t="shared" si="114"/>
      </c>
      <c r="AB382" s="600">
        <f t="shared" si="115"/>
      </c>
      <c r="AD382" s="858"/>
      <c r="AE382" s="858"/>
      <c r="AF382" s="858"/>
    </row>
    <row r="383" spans="1:32" s="433" customFormat="1" ht="30.75" customHeight="1" thickBot="1">
      <c r="A383" s="1366" t="s">
        <v>226</v>
      </c>
      <c r="B383" s="1367"/>
      <c r="C383" s="1367"/>
      <c r="D383" s="1367"/>
      <c r="E383" s="1367"/>
      <c r="F383" s="1367"/>
      <c r="G383" s="1367"/>
      <c r="H383" s="1067">
        <f aca="true" t="shared" si="150" ref="H383:P383">SUM(H378:H382)</f>
        <v>0</v>
      </c>
      <c r="I383" s="1067">
        <f t="shared" si="150"/>
        <v>0</v>
      </c>
      <c r="J383" s="1067">
        <f t="shared" si="150"/>
        <v>0</v>
      </c>
      <c r="K383" s="1067">
        <f t="shared" si="150"/>
        <v>0</v>
      </c>
      <c r="L383" s="1067">
        <f t="shared" si="150"/>
        <v>0</v>
      </c>
      <c r="M383" s="1067">
        <f t="shared" si="150"/>
        <v>200000</v>
      </c>
      <c r="N383" s="1067"/>
      <c r="O383" s="1067"/>
      <c r="P383" s="1067">
        <f t="shared" si="150"/>
        <v>0</v>
      </c>
      <c r="Q383" s="1067"/>
      <c r="R383" s="1067"/>
      <c r="S383" s="1067"/>
      <c r="T383" s="1067"/>
      <c r="U383" s="1068"/>
      <c r="V383" s="1070">
        <f>SUM(V378:V382)</f>
        <v>200000</v>
      </c>
      <c r="W383" s="695">
        <f>SUM(W378:W382)</f>
        <v>0</v>
      </c>
      <c r="X383" s="696">
        <f>SUM(X378:X382)</f>
        <v>0</v>
      </c>
      <c r="Z383" s="600">
        <f t="shared" si="113"/>
      </c>
      <c r="AA383" s="600">
        <f t="shared" si="114"/>
      </c>
      <c r="AB383" s="600">
        <f t="shared" si="115"/>
      </c>
      <c r="AD383" s="823"/>
      <c r="AE383" s="823"/>
      <c r="AF383" s="823"/>
    </row>
    <row r="384" spans="1:32" s="650" customFormat="1" ht="34.5" customHeight="1" thickBot="1">
      <c r="A384" s="697"/>
      <c r="B384" s="698"/>
      <c r="C384" s="698"/>
      <c r="D384" s="698"/>
      <c r="E384" s="698"/>
      <c r="F384" s="698"/>
      <c r="G384" s="698"/>
      <c r="H384" s="699"/>
      <c r="I384" s="699"/>
      <c r="J384" s="699"/>
      <c r="K384" s="752"/>
      <c r="L384" s="752"/>
      <c r="M384" s="752"/>
      <c r="N384" s="699"/>
      <c r="O384" s="699"/>
      <c r="P384" s="699"/>
      <c r="Q384" s="699"/>
      <c r="R384" s="699"/>
      <c r="S384" s="699"/>
      <c r="T384" s="699"/>
      <c r="U384" s="699"/>
      <c r="V384" s="752"/>
      <c r="W384" s="699"/>
      <c r="X384" s="699"/>
      <c r="Y384" s="433"/>
      <c r="Z384" s="600">
        <f aca="true" t="shared" si="151" ref="Z384:Z411">IF(V384&gt;(H384+M384+N384),"ERRORE","")</f>
      </c>
      <c r="AA384" s="600">
        <f aca="true" t="shared" si="152" ref="AA384:AA412">IF(W384&gt;(H384+P384+Q384),"ERRORE","")</f>
      </c>
      <c r="AB384" s="600">
        <f aca="true" t="shared" si="153" ref="AB384:AB412">IF(X384&gt;(H384+S384+T384),"ERRORE","")</f>
      </c>
      <c r="AD384" s="859"/>
      <c r="AE384" s="859"/>
      <c r="AF384" s="859"/>
    </row>
    <row r="385" spans="1:32" s="651" customFormat="1" ht="34.5" customHeight="1" thickBot="1">
      <c r="A385" s="1353" t="s">
        <v>374</v>
      </c>
      <c r="B385" s="1354"/>
      <c r="C385" s="1354"/>
      <c r="D385" s="1354"/>
      <c r="E385" s="1354"/>
      <c r="F385" s="1354"/>
      <c r="G385" s="1354"/>
      <c r="H385" s="1354"/>
      <c r="I385" s="1354"/>
      <c r="J385" s="1354"/>
      <c r="K385" s="1354"/>
      <c r="L385" s="1354"/>
      <c r="M385" s="1354"/>
      <c r="N385" s="1354"/>
      <c r="O385" s="1354"/>
      <c r="P385" s="1354"/>
      <c r="Q385" s="1354"/>
      <c r="R385" s="1354"/>
      <c r="S385" s="1354"/>
      <c r="T385" s="1354"/>
      <c r="U385" s="1354"/>
      <c r="V385" s="1354"/>
      <c r="W385" s="1354"/>
      <c r="X385" s="1355"/>
      <c r="Z385" s="600">
        <f t="shared" si="151"/>
      </c>
      <c r="AA385" s="600">
        <f t="shared" si="152"/>
      </c>
      <c r="AB385" s="600">
        <f t="shared" si="153"/>
      </c>
      <c r="AD385" s="856"/>
      <c r="AE385" s="856"/>
      <c r="AF385" s="856"/>
    </row>
    <row r="386" spans="1:32" s="588" customFormat="1" ht="59.25" customHeight="1">
      <c r="A386" s="394" t="str">
        <f>A5</f>
        <v>Missione</v>
      </c>
      <c r="B386" s="395" t="str">
        <f>B5</f>
        <v>Programma</v>
      </c>
      <c r="C386" s="395" t="str">
        <f>C5</f>
        <v>Titolo</v>
      </c>
      <c r="D386" s="395" t="str">
        <f>D5</f>
        <v>Capitolo</v>
      </c>
      <c r="E386" s="700"/>
      <c r="F386" s="396" t="s">
        <v>443</v>
      </c>
      <c r="G386" s="395" t="s">
        <v>134</v>
      </c>
      <c r="H386" s="395" t="str">
        <f aca="true" t="shared" si="154" ref="H386:M386">H5</f>
        <v>RESIDUI PRESUNTI AL 31.12.2020                 AL 12.01.2021</v>
      </c>
      <c r="I386" s="395" t="str">
        <f t="shared" si="154"/>
        <v>PREVISIONE INIZIALE 2018</v>
      </c>
      <c r="J386" s="395" t="str">
        <f t="shared" si="154"/>
        <v>IMPEGNI 2018 ALLA DATA DEL </v>
      </c>
      <c r="K386" s="744" t="str">
        <f t="shared" si="154"/>
        <v>PREVISIONE 2020          al 12.01.2021</v>
      </c>
      <c r="L386" s="744" t="str">
        <f t="shared" si="154"/>
        <v>PREVISIONE 2020                    (solo FPV)</v>
      </c>
      <c r="M386" s="744" t="str">
        <f t="shared" si="154"/>
        <v>PREVISIONE 2021</v>
      </c>
      <c r="N386" s="395"/>
      <c r="O386" s="395"/>
      <c r="P386" s="395" t="str">
        <f>P5</f>
        <v>PREVISIONE 2022</v>
      </c>
      <c r="Q386" s="395"/>
      <c r="R386" s="395"/>
      <c r="S386" s="395" t="str">
        <f>S5</f>
        <v>PREVISIONE 2023</v>
      </c>
      <c r="T386" s="397"/>
      <c r="U386" s="525"/>
      <c r="V386" s="812" t="str">
        <f>V5</f>
        <v>PEVISIONE DI CASSA 2021</v>
      </c>
      <c r="W386" s="652" t="str">
        <f>W5</f>
        <v>PEVISIONE DI CASSA 2021</v>
      </c>
      <c r="X386" s="536" t="str">
        <f>X5</f>
        <v>PEVISIONE DI CASSA 2022</v>
      </c>
      <c r="Z386" s="600"/>
      <c r="AA386" s="600"/>
      <c r="AB386" s="600"/>
      <c r="AD386" s="852"/>
      <c r="AE386" s="852"/>
      <c r="AF386" s="852"/>
    </row>
    <row r="387" spans="1:32" s="585" customFormat="1" ht="27.75" customHeight="1">
      <c r="A387" s="404">
        <v>50</v>
      </c>
      <c r="B387" s="591">
        <v>2</v>
      </c>
      <c r="C387" s="591">
        <v>4</v>
      </c>
      <c r="D387" s="545">
        <v>3030</v>
      </c>
      <c r="E387" s="591"/>
      <c r="F387" s="545" t="s">
        <v>191</v>
      </c>
      <c r="G387" s="592" t="s">
        <v>339</v>
      </c>
      <c r="H387" s="593">
        <v>54472.39</v>
      </c>
      <c r="I387" s="593"/>
      <c r="J387" s="593"/>
      <c r="K387" s="1221">
        <f>166862-50000</f>
        <v>116862</v>
      </c>
      <c r="L387" s="919"/>
      <c r="M387" s="731">
        <v>133310</v>
      </c>
      <c r="N387" s="921"/>
      <c r="O387" s="921"/>
      <c r="P387" s="921">
        <v>165610</v>
      </c>
      <c r="Q387" s="779"/>
      <c r="R387" s="779"/>
      <c r="S387" s="741">
        <v>146295</v>
      </c>
      <c r="T387" s="596"/>
      <c r="U387" s="633"/>
      <c r="V387" s="794">
        <f>H387+M387</f>
        <v>187782.39</v>
      </c>
      <c r="W387" s="656"/>
      <c r="X387" s="608"/>
      <c r="Z387" s="600">
        <f t="shared" si="151"/>
      </c>
      <c r="AA387" s="600">
        <f t="shared" si="152"/>
      </c>
      <c r="AB387" s="600">
        <f t="shared" si="153"/>
      </c>
      <c r="AD387" s="773"/>
      <c r="AE387" s="773"/>
      <c r="AF387" s="773"/>
    </row>
    <row r="388" spans="1:32" s="585" customFormat="1" ht="27.75" customHeight="1" hidden="1">
      <c r="A388" s="469">
        <v>50</v>
      </c>
      <c r="B388" s="513">
        <v>2</v>
      </c>
      <c r="C388" s="513">
        <v>4</v>
      </c>
      <c r="D388" s="514">
        <v>3040</v>
      </c>
      <c r="E388" s="513"/>
      <c r="F388" s="514" t="s">
        <v>191</v>
      </c>
      <c r="G388" s="620" t="s">
        <v>339</v>
      </c>
      <c r="H388" s="615"/>
      <c r="I388" s="615"/>
      <c r="J388" s="615"/>
      <c r="K388" s="753"/>
      <c r="L388" s="753"/>
      <c r="M388" s="753"/>
      <c r="N388" s="616"/>
      <c r="O388" s="616"/>
      <c r="P388" s="616"/>
      <c r="Q388" s="622"/>
      <c r="R388" s="622"/>
      <c r="S388" s="622"/>
      <c r="T388" s="616"/>
      <c r="U388" s="634"/>
      <c r="V388" s="801"/>
      <c r="W388" s="656"/>
      <c r="X388" s="608"/>
      <c r="Z388" s="600">
        <f t="shared" si="151"/>
      </c>
      <c r="AA388" s="600">
        <f t="shared" si="152"/>
      </c>
      <c r="AB388" s="600">
        <f t="shared" si="153"/>
      </c>
      <c r="AD388" s="773"/>
      <c r="AE388" s="773"/>
      <c r="AF388" s="773"/>
    </row>
    <row r="389" spans="1:32" s="585" customFormat="1" ht="27.75" customHeight="1" thickBot="1">
      <c r="A389" s="1358" t="s">
        <v>370</v>
      </c>
      <c r="B389" s="1359"/>
      <c r="C389" s="1359"/>
      <c r="D389" s="1359"/>
      <c r="E389" s="1359"/>
      <c r="F389" s="1359"/>
      <c r="G389" s="1359"/>
      <c r="H389" s="701">
        <f aca="true" t="shared" si="155" ref="H389:X389">SUM(H387:H388)</f>
        <v>54472.39</v>
      </c>
      <c r="I389" s="701">
        <f t="shared" si="155"/>
        <v>0</v>
      </c>
      <c r="J389" s="701">
        <f t="shared" si="155"/>
        <v>0</v>
      </c>
      <c r="K389" s="754">
        <f t="shared" si="155"/>
        <v>116862</v>
      </c>
      <c r="L389" s="754">
        <f t="shared" si="155"/>
        <v>0</v>
      </c>
      <c r="M389" s="754">
        <f t="shared" si="155"/>
        <v>133310</v>
      </c>
      <c r="N389" s="701"/>
      <c r="O389" s="701"/>
      <c r="P389" s="701">
        <f t="shared" si="155"/>
        <v>165610</v>
      </c>
      <c r="Q389" s="701"/>
      <c r="R389" s="702"/>
      <c r="S389" s="702">
        <f t="shared" si="155"/>
        <v>146295</v>
      </c>
      <c r="T389" s="703"/>
      <c r="U389" s="704"/>
      <c r="V389" s="847">
        <f t="shared" si="155"/>
        <v>187782.39</v>
      </c>
      <c r="W389" s="705">
        <f t="shared" si="155"/>
        <v>0</v>
      </c>
      <c r="X389" s="704">
        <f t="shared" si="155"/>
        <v>0</v>
      </c>
      <c r="Z389" s="600">
        <f t="shared" si="151"/>
      </c>
      <c r="AA389" s="600">
        <f t="shared" si="152"/>
      </c>
      <c r="AB389" s="600">
        <f t="shared" si="153"/>
      </c>
      <c r="AD389" s="773"/>
      <c r="AE389" s="773"/>
      <c r="AF389" s="773"/>
    </row>
    <row r="390" spans="1:32" s="589" customFormat="1" ht="31.5" customHeight="1" thickBot="1">
      <c r="A390" s="1351" t="s">
        <v>375</v>
      </c>
      <c r="B390" s="1352"/>
      <c r="C390" s="1352"/>
      <c r="D390" s="1352"/>
      <c r="E390" s="1352"/>
      <c r="F390" s="1352"/>
      <c r="G390" s="1352"/>
      <c r="H390" s="1062">
        <f aca="true" t="shared" si="156" ref="H390:X390">SUM(H387:H388)</f>
        <v>54472.39</v>
      </c>
      <c r="I390" s="1062">
        <f t="shared" si="156"/>
        <v>0</v>
      </c>
      <c r="J390" s="1062">
        <f t="shared" si="156"/>
        <v>0</v>
      </c>
      <c r="K390" s="1062">
        <f t="shared" si="156"/>
        <v>116862</v>
      </c>
      <c r="L390" s="1062">
        <f t="shared" si="156"/>
        <v>0</v>
      </c>
      <c r="M390" s="1062">
        <f t="shared" si="156"/>
        <v>133310</v>
      </c>
      <c r="N390" s="1062"/>
      <c r="O390" s="1062"/>
      <c r="P390" s="1062">
        <f t="shared" si="156"/>
        <v>165610</v>
      </c>
      <c r="Q390" s="1062"/>
      <c r="R390" s="1063"/>
      <c r="S390" s="1063">
        <f t="shared" si="156"/>
        <v>146295</v>
      </c>
      <c r="T390" s="1064"/>
      <c r="U390" s="1065"/>
      <c r="V390" s="1066">
        <f t="shared" si="156"/>
        <v>187782.39</v>
      </c>
      <c r="W390" s="706">
        <f t="shared" si="156"/>
        <v>0</v>
      </c>
      <c r="X390" s="432">
        <f t="shared" si="156"/>
        <v>0</v>
      </c>
      <c r="Z390" s="600">
        <f t="shared" si="151"/>
      </c>
      <c r="AA390" s="600">
        <f t="shared" si="152"/>
      </c>
      <c r="AB390" s="600">
        <f t="shared" si="153"/>
      </c>
      <c r="AD390" s="854"/>
      <c r="AE390" s="853"/>
      <c r="AF390" s="853"/>
    </row>
    <row r="391" spans="1:32" s="589" customFormat="1" ht="36.75" customHeight="1" thickBot="1">
      <c r="A391" s="1376" t="s">
        <v>76</v>
      </c>
      <c r="B391" s="1377"/>
      <c r="C391" s="1377"/>
      <c r="D391" s="1377"/>
      <c r="E391" s="1377"/>
      <c r="F391" s="1377"/>
      <c r="G391" s="1377"/>
      <c r="H391" s="1377"/>
      <c r="I391" s="1377"/>
      <c r="J391" s="1377"/>
      <c r="K391" s="1377"/>
      <c r="L391" s="1377"/>
      <c r="M391" s="1377"/>
      <c r="N391" s="1377"/>
      <c r="O391" s="1377"/>
      <c r="P391" s="1377"/>
      <c r="Q391" s="1377"/>
      <c r="R391" s="1377"/>
      <c r="S391" s="1377"/>
      <c r="T391" s="1377"/>
      <c r="U391" s="1377"/>
      <c r="V391" s="1377"/>
      <c r="W391" s="1377"/>
      <c r="X391" s="1378"/>
      <c r="Z391" s="600">
        <f t="shared" si="151"/>
      </c>
      <c r="AA391" s="600">
        <f t="shared" si="152"/>
      </c>
      <c r="AB391" s="600">
        <f t="shared" si="153"/>
      </c>
      <c r="AD391" s="853"/>
      <c r="AE391" s="853"/>
      <c r="AF391" s="853"/>
    </row>
    <row r="392" spans="1:32" s="588" customFormat="1" ht="60" customHeight="1">
      <c r="A392" s="682" t="str">
        <f>A5</f>
        <v>Missione</v>
      </c>
      <c r="B392" s="525" t="str">
        <f>B5</f>
        <v>Programma</v>
      </c>
      <c r="C392" s="525" t="str">
        <f>C5</f>
        <v>Titolo</v>
      </c>
      <c r="D392" s="525" t="str">
        <f>D5</f>
        <v>Capitolo</v>
      </c>
      <c r="E392" s="683"/>
      <c r="F392" s="707" t="s">
        <v>443</v>
      </c>
      <c r="G392" s="486" t="str">
        <f aca="true" t="shared" si="157" ref="G392:M392">G5</f>
        <v>DESCRIZIONE</v>
      </c>
      <c r="H392" s="525" t="str">
        <f t="shared" si="157"/>
        <v>RESIDUI PRESUNTI AL 31.12.2020                 AL 12.01.2021</v>
      </c>
      <c r="I392" s="525" t="str">
        <f t="shared" si="157"/>
        <v>PREVISIONE INIZIALE 2018</v>
      </c>
      <c r="J392" s="525" t="str">
        <f t="shared" si="157"/>
        <v>IMPEGNI 2018 ALLA DATA DEL </v>
      </c>
      <c r="K392" s="750" t="str">
        <f t="shared" si="157"/>
        <v>PREVISIONE 2020          al 12.01.2021</v>
      </c>
      <c r="L392" s="750" t="str">
        <f t="shared" si="157"/>
        <v>PREVISIONE 2020                    (solo FPV)</v>
      </c>
      <c r="M392" s="750" t="str">
        <f t="shared" si="157"/>
        <v>PREVISIONE 2021</v>
      </c>
      <c r="N392" s="525"/>
      <c r="O392" s="525"/>
      <c r="P392" s="525" t="str">
        <f>P5</f>
        <v>PREVISIONE 2022</v>
      </c>
      <c r="Q392" s="525"/>
      <c r="R392" s="525"/>
      <c r="S392" s="525" t="str">
        <f>S5</f>
        <v>PREVISIONE 2023</v>
      </c>
      <c r="T392" s="486"/>
      <c r="U392" s="525"/>
      <c r="V392" s="812" t="str">
        <f>V5</f>
        <v>PEVISIONE DI CASSA 2021</v>
      </c>
      <c r="W392" s="652" t="str">
        <f>W5</f>
        <v>PEVISIONE DI CASSA 2021</v>
      </c>
      <c r="X392" s="536" t="str">
        <f>X5</f>
        <v>PEVISIONE DI CASSA 2022</v>
      </c>
      <c r="Z392" s="600"/>
      <c r="AA392" s="600"/>
      <c r="AB392" s="600"/>
      <c r="AD392" s="852"/>
      <c r="AE392" s="852"/>
      <c r="AF392" s="852"/>
    </row>
    <row r="393" spans="1:32" s="585" customFormat="1" ht="27.75" customHeight="1">
      <c r="A393" s="469">
        <v>60</v>
      </c>
      <c r="B393" s="513">
        <v>1</v>
      </c>
      <c r="C393" s="513">
        <v>5</v>
      </c>
      <c r="D393" s="514">
        <v>3010</v>
      </c>
      <c r="E393" s="513"/>
      <c r="F393" s="514" t="s">
        <v>84</v>
      </c>
      <c r="G393" s="620" t="s">
        <v>477</v>
      </c>
      <c r="H393" s="640">
        <v>0</v>
      </c>
      <c r="I393" s="640"/>
      <c r="J393" s="640">
        <v>0</v>
      </c>
      <c r="K393" s="740">
        <f>ENTRATA!I145</f>
        <v>900000</v>
      </c>
      <c r="L393" s="740"/>
      <c r="M393" s="740">
        <f>ENTRATA!K145</f>
        <v>900000</v>
      </c>
      <c r="N393" s="922"/>
      <c r="O393" s="922"/>
      <c r="P393" s="922">
        <f>ENTRATA!N145</f>
        <v>900000</v>
      </c>
      <c r="Q393" s="937"/>
      <c r="R393" s="937"/>
      <c r="S393" s="937">
        <f>ENTRATA!Q145</f>
        <v>900000</v>
      </c>
      <c r="T393" s="649"/>
      <c r="U393" s="642"/>
      <c r="V393" s="839">
        <v>900000</v>
      </c>
      <c r="W393" s="708"/>
      <c r="X393" s="642">
        <v>0</v>
      </c>
      <c r="Z393" s="600">
        <f t="shared" si="151"/>
      </c>
      <c r="AA393" s="600">
        <f t="shared" si="152"/>
      </c>
      <c r="AB393" s="600">
        <f t="shared" si="153"/>
      </c>
      <c r="AD393" s="773"/>
      <c r="AE393" s="773"/>
      <c r="AF393" s="773"/>
    </row>
    <row r="394" spans="1:32" s="585" customFormat="1" ht="27.75" customHeight="1">
      <c r="A394" s="1379" t="s">
        <v>369</v>
      </c>
      <c r="B394" s="1380"/>
      <c r="C394" s="1380"/>
      <c r="D394" s="1380"/>
      <c r="E394" s="1380"/>
      <c r="F394" s="1380"/>
      <c r="G394" s="1381"/>
      <c r="H394" s="623">
        <f>SUM(H393)</f>
        <v>0</v>
      </c>
      <c r="I394" s="623">
        <f>SUM(I393)</f>
        <v>0</v>
      </c>
      <c r="J394" s="623">
        <f>SUM(J393)</f>
        <v>0</v>
      </c>
      <c r="K394" s="732">
        <f>SUM(K393)</f>
        <v>900000</v>
      </c>
      <c r="L394" s="732"/>
      <c r="M394" s="732">
        <f>SUM(M393)</f>
        <v>900000</v>
      </c>
      <c r="N394" s="629"/>
      <c r="O394" s="629"/>
      <c r="P394" s="629">
        <f>SUM(P393)</f>
        <v>900000</v>
      </c>
      <c r="Q394" s="629"/>
      <c r="R394" s="629"/>
      <c r="S394" s="629">
        <f>SUM(S393)</f>
        <v>900000</v>
      </c>
      <c r="T394" s="629"/>
      <c r="U394" s="630"/>
      <c r="V394" s="768">
        <f>SUM(V393)</f>
        <v>900000</v>
      </c>
      <c r="W394" s="709">
        <f>SUM(W393)</f>
        <v>0</v>
      </c>
      <c r="X394" s="630">
        <f>SUM(X393)</f>
        <v>0</v>
      </c>
      <c r="Z394" s="600">
        <f t="shared" si="151"/>
      </c>
      <c r="AA394" s="600">
        <f t="shared" si="152"/>
      </c>
      <c r="AB394" s="600">
        <f t="shared" si="153"/>
      </c>
      <c r="AD394" s="773"/>
      <c r="AE394" s="773"/>
      <c r="AF394" s="773"/>
    </row>
    <row r="395" spans="1:32" s="711" customFormat="1" ht="42" customHeight="1" thickBot="1">
      <c r="A395" s="1373" t="s">
        <v>77</v>
      </c>
      <c r="B395" s="1374"/>
      <c r="C395" s="1374"/>
      <c r="D395" s="1374"/>
      <c r="E395" s="1374"/>
      <c r="F395" s="1374"/>
      <c r="G395" s="1374"/>
      <c r="H395" s="1067">
        <f aca="true" t="shared" si="158" ref="H395:X395">SUM(H393)</f>
        <v>0</v>
      </c>
      <c r="I395" s="1067">
        <f t="shared" si="158"/>
        <v>0</v>
      </c>
      <c r="J395" s="1067">
        <f t="shared" si="158"/>
        <v>0</v>
      </c>
      <c r="K395" s="1067">
        <f t="shared" si="158"/>
        <v>900000</v>
      </c>
      <c r="L395" s="1067"/>
      <c r="M395" s="1067">
        <f t="shared" si="158"/>
        <v>900000</v>
      </c>
      <c r="N395" s="1068"/>
      <c r="O395" s="1068"/>
      <c r="P395" s="1068">
        <f t="shared" si="158"/>
        <v>900000</v>
      </c>
      <c r="Q395" s="1068"/>
      <c r="R395" s="1068"/>
      <c r="S395" s="1068">
        <f>SUM(S394)</f>
        <v>900000</v>
      </c>
      <c r="T395" s="1068"/>
      <c r="U395" s="1069"/>
      <c r="V395" s="1070">
        <f t="shared" si="158"/>
        <v>900000</v>
      </c>
      <c r="W395" s="710">
        <f t="shared" si="158"/>
        <v>0</v>
      </c>
      <c r="X395" s="696">
        <f t="shared" si="158"/>
        <v>0</v>
      </c>
      <c r="Z395" s="600">
        <f t="shared" si="151"/>
      </c>
      <c r="AA395" s="600">
        <f t="shared" si="152"/>
      </c>
      <c r="AB395" s="600">
        <f t="shared" si="153"/>
      </c>
      <c r="AD395" s="854"/>
      <c r="AE395" s="863"/>
      <c r="AF395" s="863"/>
    </row>
    <row r="396" spans="1:32" s="712" customFormat="1" ht="34.5" customHeight="1" thickBot="1">
      <c r="A396" s="1371" t="s">
        <v>78</v>
      </c>
      <c r="B396" s="1372"/>
      <c r="C396" s="1372"/>
      <c r="D396" s="1372"/>
      <c r="E396" s="1372"/>
      <c r="F396" s="1372"/>
      <c r="G396" s="1372"/>
      <c r="H396" s="1372"/>
      <c r="I396" s="1372"/>
      <c r="J396" s="1372"/>
      <c r="K396" s="1372"/>
      <c r="L396" s="1372"/>
      <c r="M396" s="1372"/>
      <c r="N396" s="1372"/>
      <c r="O396" s="1372"/>
      <c r="P396" s="1372"/>
      <c r="Q396" s="1372"/>
      <c r="R396" s="1372"/>
      <c r="S396" s="1372"/>
      <c r="T396" s="1372"/>
      <c r="U396" s="1372"/>
      <c r="V396" s="1372"/>
      <c r="W396" s="1372"/>
      <c r="X396" s="1375"/>
      <c r="Z396" s="600">
        <f t="shared" si="151"/>
      </c>
      <c r="AA396" s="600">
        <f t="shared" si="152"/>
      </c>
      <c r="AB396" s="600">
        <f t="shared" si="153"/>
      </c>
      <c r="AD396" s="860"/>
      <c r="AE396" s="860"/>
      <c r="AF396" s="860"/>
    </row>
    <row r="397" spans="1:32" s="588" customFormat="1" ht="60.75" customHeight="1">
      <c r="A397" s="394" t="str">
        <f>A5</f>
        <v>Missione</v>
      </c>
      <c r="B397" s="395" t="str">
        <f>B5</f>
        <v>Programma</v>
      </c>
      <c r="C397" s="395" t="str">
        <f>C5</f>
        <v>Titolo</v>
      </c>
      <c r="D397" s="395" t="str">
        <f>D5</f>
        <v>Capitolo</v>
      </c>
      <c r="E397" s="395" t="str">
        <f>E5</f>
        <v>Codice PdC</v>
      </c>
      <c r="F397" s="396" t="s">
        <v>443</v>
      </c>
      <c r="G397" s="395" t="str">
        <f aca="true" t="shared" si="159" ref="G397:M397">G5</f>
        <v>DESCRIZIONE</v>
      </c>
      <c r="H397" s="395" t="str">
        <f t="shared" si="159"/>
        <v>RESIDUI PRESUNTI AL 31.12.2020                 AL 12.01.2021</v>
      </c>
      <c r="I397" s="395" t="str">
        <f t="shared" si="159"/>
        <v>PREVISIONE INIZIALE 2018</v>
      </c>
      <c r="J397" s="395" t="str">
        <f t="shared" si="159"/>
        <v>IMPEGNI 2018 ALLA DATA DEL </v>
      </c>
      <c r="K397" s="744" t="str">
        <f t="shared" si="159"/>
        <v>PREVISIONE 2020          al 12.01.2021</v>
      </c>
      <c r="L397" s="744" t="str">
        <f t="shared" si="159"/>
        <v>PREVISIONE 2020                    (solo FPV)</v>
      </c>
      <c r="M397" s="744" t="str">
        <f t="shared" si="159"/>
        <v>PREVISIONE 2021</v>
      </c>
      <c r="N397" s="395"/>
      <c r="O397" s="395"/>
      <c r="P397" s="395" t="str">
        <f>P5</f>
        <v>PREVISIONE 2022</v>
      </c>
      <c r="Q397" s="395"/>
      <c r="R397" s="395"/>
      <c r="S397" s="395" t="str">
        <f>S5</f>
        <v>PREVISIONE 2023</v>
      </c>
      <c r="T397" s="397"/>
      <c r="U397" s="525"/>
      <c r="V397" s="812" t="str">
        <f>V5</f>
        <v>PEVISIONE DI CASSA 2021</v>
      </c>
      <c r="W397" s="652" t="str">
        <f>W5</f>
        <v>PEVISIONE DI CASSA 2021</v>
      </c>
      <c r="X397" s="536" t="str">
        <f>X5</f>
        <v>PEVISIONE DI CASSA 2022</v>
      </c>
      <c r="Z397" s="600"/>
      <c r="AA397" s="600"/>
      <c r="AB397" s="600"/>
      <c r="AD397" s="852"/>
      <c r="AE397" s="852"/>
      <c r="AF397" s="852"/>
    </row>
    <row r="398" spans="1:32" s="585" customFormat="1" ht="27.75" customHeight="1">
      <c r="A398" s="404">
        <v>99</v>
      </c>
      <c r="B398" s="591">
        <v>1</v>
      </c>
      <c r="C398" s="591">
        <v>7</v>
      </c>
      <c r="D398" s="546">
        <v>4009</v>
      </c>
      <c r="E398" s="591">
        <v>701</v>
      </c>
      <c r="F398" s="545" t="s">
        <v>90</v>
      </c>
      <c r="G398" s="610" t="s">
        <v>195</v>
      </c>
      <c r="H398" s="727">
        <v>0</v>
      </c>
      <c r="I398" s="727"/>
      <c r="J398" s="727"/>
      <c r="K398" s="727">
        <v>10000</v>
      </c>
      <c r="L398" s="727"/>
      <c r="M398" s="727">
        <f>ENTRATA!K150</f>
        <v>10000</v>
      </c>
      <c r="N398" s="795"/>
      <c r="O398" s="795"/>
      <c r="P398" s="795">
        <f>ENTRATA!N150</f>
        <v>10000</v>
      </c>
      <c r="Q398" s="792"/>
      <c r="R398" s="792"/>
      <c r="S398" s="1089">
        <f>ENTRATA!Q150</f>
        <v>10000</v>
      </c>
      <c r="T398" s="793"/>
      <c r="U398" s="1304"/>
      <c r="V398" s="797">
        <f>H398+M398</f>
        <v>10000</v>
      </c>
      <c r="W398" s="713">
        <f>ENTRATA!U150</f>
        <v>0</v>
      </c>
      <c r="X398" s="667">
        <f>ENTRATA!V150</f>
        <v>0</v>
      </c>
      <c r="Z398" s="600">
        <f t="shared" si="151"/>
      </c>
      <c r="AA398" s="600">
        <f t="shared" si="152"/>
      </c>
      <c r="AB398" s="600">
        <f t="shared" si="153"/>
      </c>
      <c r="AD398" s="773"/>
      <c r="AE398" s="773"/>
      <c r="AF398" s="773"/>
    </row>
    <row r="399" spans="1:32" s="585" customFormat="1" ht="27.75" customHeight="1">
      <c r="A399" s="404">
        <v>99</v>
      </c>
      <c r="B399" s="591">
        <v>1</v>
      </c>
      <c r="C399" s="591">
        <v>7</v>
      </c>
      <c r="D399" s="545">
        <v>4001</v>
      </c>
      <c r="E399" s="591">
        <v>701</v>
      </c>
      <c r="F399" s="545" t="s">
        <v>194</v>
      </c>
      <c r="G399" s="592" t="s">
        <v>204</v>
      </c>
      <c r="H399" s="731">
        <v>113238.47</v>
      </c>
      <c r="I399" s="731"/>
      <c r="J399" s="731"/>
      <c r="K399" s="727">
        <v>150000</v>
      </c>
      <c r="L399" s="727"/>
      <c r="M399" s="727">
        <f>ENTRATA!K152</f>
        <v>150000</v>
      </c>
      <c r="N399" s="795"/>
      <c r="O399" s="795"/>
      <c r="P399" s="795">
        <f>ENTRATA!N152</f>
        <v>150000</v>
      </c>
      <c r="Q399" s="795"/>
      <c r="R399" s="795"/>
      <c r="S399" s="727">
        <f>ENTRATA!Q152</f>
        <v>150000</v>
      </c>
      <c r="T399" s="796"/>
      <c r="U399" s="1302"/>
      <c r="V399" s="797">
        <f>H399+M399</f>
        <v>263238.47</v>
      </c>
      <c r="W399" s="713">
        <f>ENTRATA!U152</f>
        <v>0</v>
      </c>
      <c r="X399" s="667">
        <f>ENTRATA!V152</f>
        <v>0</v>
      </c>
      <c r="Z399" s="600">
        <f t="shared" si="151"/>
      </c>
      <c r="AA399" s="600">
        <f t="shared" si="152"/>
      </c>
      <c r="AB399" s="600">
        <f t="shared" si="153"/>
      </c>
      <c r="AD399" s="773"/>
      <c r="AE399" s="773"/>
      <c r="AF399" s="773"/>
    </row>
    <row r="400" spans="1:32" s="585" customFormat="1" ht="27.75" customHeight="1">
      <c r="A400" s="404">
        <v>99</v>
      </c>
      <c r="B400" s="591">
        <v>1</v>
      </c>
      <c r="C400" s="591">
        <v>7</v>
      </c>
      <c r="D400" s="546">
        <v>4010</v>
      </c>
      <c r="E400" s="591">
        <v>701</v>
      </c>
      <c r="F400" s="545" t="s">
        <v>192</v>
      </c>
      <c r="G400" s="610" t="s">
        <v>197</v>
      </c>
      <c r="H400" s="727">
        <v>16398.32</v>
      </c>
      <c r="I400" s="727"/>
      <c r="J400" s="727"/>
      <c r="K400" s="727">
        <v>100000</v>
      </c>
      <c r="L400" s="727"/>
      <c r="M400" s="727">
        <f>ENTRATA!K151</f>
        <v>100000</v>
      </c>
      <c r="N400" s="795"/>
      <c r="O400" s="795"/>
      <c r="P400" s="795">
        <f>ENTRATA!N151</f>
        <v>100000</v>
      </c>
      <c r="Q400" s="795"/>
      <c r="R400" s="795"/>
      <c r="S400" s="727">
        <f>ENTRATA!Q151</f>
        <v>100000</v>
      </c>
      <c r="T400" s="796"/>
      <c r="U400" s="1302"/>
      <c r="V400" s="797">
        <f aca="true" t="shared" si="160" ref="V400:V408">H400+M400</f>
        <v>116398.32</v>
      </c>
      <c r="W400" s="713">
        <f>ENTRATA!U151</f>
        <v>0</v>
      </c>
      <c r="X400" s="667">
        <f>ENTRATA!V151</f>
        <v>0</v>
      </c>
      <c r="Z400" s="600">
        <f t="shared" si="151"/>
      </c>
      <c r="AA400" s="600">
        <f t="shared" si="152"/>
      </c>
      <c r="AB400" s="600">
        <f t="shared" si="153"/>
      </c>
      <c r="AD400" s="773"/>
      <c r="AE400" s="773"/>
      <c r="AF400" s="773"/>
    </row>
    <row r="401" spans="1:32" s="585" customFormat="1" ht="27.75" customHeight="1">
      <c r="A401" s="404">
        <v>99</v>
      </c>
      <c r="B401" s="591">
        <v>1</v>
      </c>
      <c r="C401" s="591">
        <v>7</v>
      </c>
      <c r="D401" s="546">
        <v>4011</v>
      </c>
      <c r="E401" s="591">
        <v>701</v>
      </c>
      <c r="F401" s="545" t="s">
        <v>194</v>
      </c>
      <c r="G401" s="610" t="s">
        <v>252</v>
      </c>
      <c r="H401" s="727">
        <v>26.8</v>
      </c>
      <c r="I401" s="727"/>
      <c r="J401" s="727"/>
      <c r="K401" s="727">
        <v>10000</v>
      </c>
      <c r="L401" s="727"/>
      <c r="M401" s="727">
        <f>ENTRATA!K153</f>
        <v>10000</v>
      </c>
      <c r="N401" s="795"/>
      <c r="O401" s="795"/>
      <c r="P401" s="795">
        <f>ENTRATA!N153</f>
        <v>10000</v>
      </c>
      <c r="Q401" s="795"/>
      <c r="R401" s="795"/>
      <c r="S401" s="727">
        <f>ENTRATA!Q153</f>
        <v>10000</v>
      </c>
      <c r="T401" s="796"/>
      <c r="U401" s="1302"/>
      <c r="V401" s="797">
        <f t="shared" si="160"/>
        <v>10026.8</v>
      </c>
      <c r="W401" s="713">
        <f>ENTRATA!U153</f>
        <v>0</v>
      </c>
      <c r="X401" s="667">
        <f>ENTRATA!V153</f>
        <v>0</v>
      </c>
      <c r="Z401" s="600">
        <f t="shared" si="151"/>
      </c>
      <c r="AA401" s="600">
        <f t="shared" si="152"/>
      </c>
      <c r="AB401" s="600">
        <f t="shared" si="153"/>
      </c>
      <c r="AD401" s="773"/>
      <c r="AE401" s="773"/>
      <c r="AF401" s="773"/>
    </row>
    <row r="402" spans="1:32" s="585" customFormat="1" ht="27.75" customHeight="1">
      <c r="A402" s="404">
        <v>99</v>
      </c>
      <c r="B402" s="591">
        <v>1</v>
      </c>
      <c r="C402" s="591">
        <v>7</v>
      </c>
      <c r="D402" s="546">
        <v>4003</v>
      </c>
      <c r="E402" s="591">
        <v>701</v>
      </c>
      <c r="F402" s="545" t="s">
        <v>199</v>
      </c>
      <c r="G402" s="601" t="s">
        <v>205</v>
      </c>
      <c r="H402" s="728">
        <v>1405.77</v>
      </c>
      <c r="I402" s="728"/>
      <c r="J402" s="728"/>
      <c r="K402" s="727">
        <v>20000</v>
      </c>
      <c r="L402" s="727"/>
      <c r="M402" s="727">
        <f>ENTRATA!K155</f>
        <v>20000</v>
      </c>
      <c r="N402" s="795"/>
      <c r="O402" s="795"/>
      <c r="P402" s="795">
        <f>ENTRATA!N155</f>
        <v>20000</v>
      </c>
      <c r="Q402" s="795"/>
      <c r="R402" s="795"/>
      <c r="S402" s="727">
        <f>ENTRATA!Q155</f>
        <v>20000</v>
      </c>
      <c r="T402" s="796"/>
      <c r="U402" s="1302"/>
      <c r="V402" s="797">
        <f t="shared" si="160"/>
        <v>21405.77</v>
      </c>
      <c r="W402" s="713">
        <f>ENTRATA!U155</f>
        <v>0</v>
      </c>
      <c r="X402" s="667">
        <f>ENTRATA!V155</f>
        <v>0</v>
      </c>
      <c r="Z402" s="600">
        <f t="shared" si="151"/>
      </c>
      <c r="AA402" s="600">
        <f t="shared" si="152"/>
      </c>
      <c r="AB402" s="600">
        <f t="shared" si="153"/>
      </c>
      <c r="AD402" s="773"/>
      <c r="AE402" s="773"/>
      <c r="AF402" s="773"/>
    </row>
    <row r="403" spans="1:32" s="585" customFormat="1" ht="27.75" customHeight="1">
      <c r="A403" s="404">
        <v>99</v>
      </c>
      <c r="B403" s="591">
        <v>1</v>
      </c>
      <c r="C403" s="591">
        <v>7</v>
      </c>
      <c r="D403" s="546">
        <v>4006</v>
      </c>
      <c r="E403" s="591">
        <v>701</v>
      </c>
      <c r="F403" s="545" t="s">
        <v>200</v>
      </c>
      <c r="G403" s="610" t="s">
        <v>516</v>
      </c>
      <c r="H403" s="728">
        <v>0</v>
      </c>
      <c r="I403" s="728"/>
      <c r="J403" s="728"/>
      <c r="K403" s="727">
        <v>5200</v>
      </c>
      <c r="L403" s="727"/>
      <c r="M403" s="727">
        <f>ENTRATA!K157</f>
        <v>5200</v>
      </c>
      <c r="N403" s="795"/>
      <c r="O403" s="795"/>
      <c r="P403" s="795">
        <f>ENTRATA!N157</f>
        <v>5200</v>
      </c>
      <c r="Q403" s="795"/>
      <c r="R403" s="795"/>
      <c r="S403" s="727">
        <f>ENTRATA!Q157</f>
        <v>5200</v>
      </c>
      <c r="T403" s="796"/>
      <c r="U403" s="1302"/>
      <c r="V403" s="797">
        <f t="shared" si="160"/>
        <v>5200</v>
      </c>
      <c r="W403" s="713">
        <f>ENTRATA!U157</f>
        <v>0</v>
      </c>
      <c r="X403" s="667">
        <f>ENTRATA!V157</f>
        <v>0</v>
      </c>
      <c r="Z403" s="600">
        <f t="shared" si="151"/>
      </c>
      <c r="AA403" s="600">
        <f t="shared" si="152"/>
      </c>
      <c r="AB403" s="600">
        <f t="shared" si="153"/>
      </c>
      <c r="AD403" s="773"/>
      <c r="AE403" s="773"/>
      <c r="AF403" s="773"/>
    </row>
    <row r="404" spans="1:32" s="585" customFormat="1" ht="27.75" customHeight="1">
      <c r="A404" s="404">
        <v>99</v>
      </c>
      <c r="B404" s="591">
        <v>1</v>
      </c>
      <c r="C404" s="591">
        <v>7</v>
      </c>
      <c r="D404" s="546" t="s">
        <v>437</v>
      </c>
      <c r="E404" s="591">
        <v>701</v>
      </c>
      <c r="F404" s="545" t="s">
        <v>193</v>
      </c>
      <c r="G404" s="610" t="s">
        <v>198</v>
      </c>
      <c r="H404" s="727">
        <v>1654</v>
      </c>
      <c r="I404" s="727"/>
      <c r="J404" s="727"/>
      <c r="K404" s="727">
        <v>100000</v>
      </c>
      <c r="L404" s="727"/>
      <c r="M404" s="727">
        <f>ENTRATA!K156</f>
        <v>100000</v>
      </c>
      <c r="N404" s="795"/>
      <c r="O404" s="795"/>
      <c r="P404" s="795">
        <f>ENTRATA!N156</f>
        <v>100000</v>
      </c>
      <c r="Q404" s="795"/>
      <c r="R404" s="795"/>
      <c r="S404" s="727">
        <f>ENTRATA!Q156</f>
        <v>100000</v>
      </c>
      <c r="T404" s="796"/>
      <c r="U404" s="1302"/>
      <c r="V404" s="797">
        <f t="shared" si="160"/>
        <v>101654</v>
      </c>
      <c r="W404" s="713">
        <f>ENTRATA!U156</f>
        <v>0</v>
      </c>
      <c r="X404" s="667">
        <f>ENTRATA!V156</f>
        <v>0</v>
      </c>
      <c r="Z404" s="600">
        <f t="shared" si="151"/>
      </c>
      <c r="AA404" s="600">
        <f t="shared" si="152"/>
      </c>
      <c r="AB404" s="600">
        <f t="shared" si="153"/>
      </c>
      <c r="AD404" s="773"/>
      <c r="AE404" s="773"/>
      <c r="AF404" s="773"/>
    </row>
    <row r="405" spans="1:32" s="585" customFormat="1" ht="27.75" customHeight="1">
      <c r="A405" s="404">
        <v>99</v>
      </c>
      <c r="B405" s="591">
        <v>1</v>
      </c>
      <c r="C405" s="591">
        <v>7</v>
      </c>
      <c r="D405" s="546">
        <v>4004</v>
      </c>
      <c r="E405" s="591">
        <v>702</v>
      </c>
      <c r="F405" s="545" t="s">
        <v>202</v>
      </c>
      <c r="G405" s="601" t="s">
        <v>206</v>
      </c>
      <c r="H405" s="728">
        <v>12736.21</v>
      </c>
      <c r="I405" s="728"/>
      <c r="J405" s="728"/>
      <c r="K405" s="727">
        <v>50000</v>
      </c>
      <c r="L405" s="727"/>
      <c r="M405" s="727">
        <f>ENTRATA!K159</f>
        <v>50000</v>
      </c>
      <c r="N405" s="795"/>
      <c r="O405" s="795"/>
      <c r="P405" s="795">
        <f>ENTRATA!N159</f>
        <v>50000</v>
      </c>
      <c r="Q405" s="795"/>
      <c r="R405" s="795"/>
      <c r="S405" s="727">
        <f>ENTRATA!Q159</f>
        <v>50000</v>
      </c>
      <c r="T405" s="796"/>
      <c r="U405" s="1302"/>
      <c r="V405" s="797">
        <f t="shared" si="160"/>
        <v>62736.21</v>
      </c>
      <c r="W405" s="713">
        <f>ENTRATA!U159</f>
        <v>0</v>
      </c>
      <c r="X405" s="667">
        <f>ENTRATA!V159</f>
        <v>0</v>
      </c>
      <c r="Z405" s="600">
        <f t="shared" si="151"/>
      </c>
      <c r="AA405" s="600">
        <f t="shared" si="152"/>
      </c>
      <c r="AB405" s="600">
        <f t="shared" si="153"/>
      </c>
      <c r="AD405" s="773"/>
      <c r="AE405" s="773"/>
      <c r="AF405" s="773"/>
    </row>
    <row r="406" spans="1:32" s="585" customFormat="1" ht="27.75" customHeight="1">
      <c r="A406" s="415">
        <v>99</v>
      </c>
      <c r="B406" s="609">
        <v>1</v>
      </c>
      <c r="C406" s="609">
        <v>7</v>
      </c>
      <c r="D406" s="612">
        <v>4007</v>
      </c>
      <c r="E406" s="613">
        <v>702</v>
      </c>
      <c r="F406" s="546" t="s">
        <v>202</v>
      </c>
      <c r="G406" s="627" t="s">
        <v>208</v>
      </c>
      <c r="H406" s="729">
        <v>500</v>
      </c>
      <c r="I406" s="729"/>
      <c r="J406" s="729"/>
      <c r="K406" s="727">
        <v>20000</v>
      </c>
      <c r="L406" s="727"/>
      <c r="M406" s="727">
        <f>ENTRATA!K160</f>
        <v>20000</v>
      </c>
      <c r="N406" s="795"/>
      <c r="O406" s="795"/>
      <c r="P406" s="795">
        <f>ENTRATA!N160</f>
        <v>20000</v>
      </c>
      <c r="Q406" s="795"/>
      <c r="R406" s="795"/>
      <c r="S406" s="727">
        <f>ENTRATA!Q160</f>
        <v>20000</v>
      </c>
      <c r="T406" s="796"/>
      <c r="U406" s="1302"/>
      <c r="V406" s="797">
        <f t="shared" si="160"/>
        <v>20500</v>
      </c>
      <c r="W406" s="713">
        <f>ENTRATA!U160</f>
        <v>0</v>
      </c>
      <c r="X406" s="667">
        <f>ENTRATA!V160</f>
        <v>0</v>
      </c>
      <c r="Z406" s="600">
        <f t="shared" si="151"/>
      </c>
      <c r="AA406" s="600">
        <f t="shared" si="152"/>
      </c>
      <c r="AB406" s="600">
        <f t="shared" si="153"/>
      </c>
      <c r="AD406" s="773"/>
      <c r="AE406" s="773"/>
      <c r="AF406" s="773"/>
    </row>
    <row r="407" spans="1:32" s="585" customFormat="1" ht="27.75" customHeight="1">
      <c r="A407" s="404">
        <v>99</v>
      </c>
      <c r="B407" s="591">
        <v>1</v>
      </c>
      <c r="C407" s="591">
        <v>7</v>
      </c>
      <c r="D407" s="612">
        <v>4012</v>
      </c>
      <c r="E407" s="609">
        <v>701</v>
      </c>
      <c r="F407" s="545" t="s">
        <v>201</v>
      </c>
      <c r="G407" s="457" t="s">
        <v>467</v>
      </c>
      <c r="H407" s="729">
        <v>24607.34</v>
      </c>
      <c r="I407" s="729"/>
      <c r="J407" s="729"/>
      <c r="K407" s="727">
        <v>200000</v>
      </c>
      <c r="L407" s="727"/>
      <c r="M407" s="727">
        <f>ENTRATA!K154</f>
        <v>200000</v>
      </c>
      <c r="N407" s="795"/>
      <c r="O407" s="795"/>
      <c r="P407" s="795">
        <f>ENTRATA!N154</f>
        <v>200000</v>
      </c>
      <c r="Q407" s="789"/>
      <c r="R407" s="789"/>
      <c r="S407" s="739">
        <f>ENTRATA!Q154</f>
        <v>200000</v>
      </c>
      <c r="T407" s="790"/>
      <c r="U407" s="1303"/>
      <c r="V407" s="797">
        <f>H407+M407</f>
        <v>224607.34</v>
      </c>
      <c r="W407" s="713">
        <f>ENTRATA!U154</f>
        <v>0</v>
      </c>
      <c r="X407" s="667">
        <f>ENTRATA!V154</f>
        <v>0</v>
      </c>
      <c r="Z407" s="600">
        <f t="shared" si="151"/>
      </c>
      <c r="AA407" s="600">
        <f t="shared" si="152"/>
      </c>
      <c r="AB407" s="600">
        <f t="shared" si="153"/>
      </c>
      <c r="AD407" s="773"/>
      <c r="AE407" s="773"/>
      <c r="AF407" s="773"/>
    </row>
    <row r="408" spans="1:32" s="585" customFormat="1" ht="27.75" customHeight="1">
      <c r="A408" s="404">
        <v>99</v>
      </c>
      <c r="B408" s="591">
        <v>1</v>
      </c>
      <c r="C408" s="591">
        <v>7</v>
      </c>
      <c r="D408" s="546">
        <v>4005</v>
      </c>
      <c r="E408" s="591">
        <v>702</v>
      </c>
      <c r="F408" s="545" t="s">
        <v>201</v>
      </c>
      <c r="G408" s="601" t="s">
        <v>207</v>
      </c>
      <c r="H408" s="728">
        <v>12376.17</v>
      </c>
      <c r="I408" s="728"/>
      <c r="J408" s="728"/>
      <c r="K408" s="727">
        <f>ENTRATA!I161</f>
        <v>150000</v>
      </c>
      <c r="L408" s="727"/>
      <c r="M408" s="727">
        <f>ENTRATA!K161</f>
        <v>150000</v>
      </c>
      <c r="N408" s="795"/>
      <c r="O408" s="795"/>
      <c r="P408" s="795">
        <f>ENTRATA!N161</f>
        <v>150000</v>
      </c>
      <c r="Q408" s="1093"/>
      <c r="R408" s="789"/>
      <c r="S408" s="739">
        <f>ENTRATA!Q161</f>
        <v>150000</v>
      </c>
      <c r="T408" s="679"/>
      <c r="U408" s="680"/>
      <c r="V408" s="797">
        <f t="shared" si="160"/>
        <v>162376.17</v>
      </c>
      <c r="W408" s="713">
        <f>ENTRATA!U161</f>
        <v>0</v>
      </c>
      <c r="X408" s="667">
        <f>ENTRATA!V161</f>
        <v>0</v>
      </c>
      <c r="Z408" s="600">
        <f t="shared" si="151"/>
      </c>
      <c r="AA408" s="600">
        <f t="shared" si="152"/>
      </c>
      <c r="AB408" s="600">
        <f t="shared" si="153"/>
      </c>
      <c r="AD408" s="773"/>
      <c r="AE408" s="773"/>
      <c r="AF408" s="773"/>
    </row>
    <row r="409" spans="1:32" s="585" customFormat="1" ht="27.75" customHeight="1">
      <c r="A409" s="1363" t="s">
        <v>371</v>
      </c>
      <c r="B409" s="1364"/>
      <c r="C409" s="1364"/>
      <c r="D409" s="1364"/>
      <c r="E409" s="1364"/>
      <c r="F409" s="1364"/>
      <c r="G409" s="1364"/>
      <c r="H409" s="623">
        <f aca="true" t="shared" si="161" ref="H409:X409">SUM(H398:H408)</f>
        <v>182943.08000000002</v>
      </c>
      <c r="I409" s="623">
        <f t="shared" si="161"/>
        <v>0</v>
      </c>
      <c r="J409" s="623">
        <f t="shared" si="161"/>
        <v>0</v>
      </c>
      <c r="K409" s="732">
        <f t="shared" si="161"/>
        <v>815200</v>
      </c>
      <c r="L409" s="732">
        <f t="shared" si="161"/>
        <v>0</v>
      </c>
      <c r="M409" s="732">
        <f t="shared" si="161"/>
        <v>815200</v>
      </c>
      <c r="N409" s="623"/>
      <c r="O409" s="623"/>
      <c r="P409" s="623">
        <f t="shared" si="161"/>
        <v>815200</v>
      </c>
      <c r="Q409" s="623"/>
      <c r="R409" s="623"/>
      <c r="S409" s="623">
        <f t="shared" si="161"/>
        <v>815200</v>
      </c>
      <c r="T409" s="629"/>
      <c r="U409" s="630"/>
      <c r="V409" s="768">
        <f t="shared" si="161"/>
        <v>998143.08</v>
      </c>
      <c r="W409" s="709">
        <f t="shared" si="161"/>
        <v>0</v>
      </c>
      <c r="X409" s="630">
        <f t="shared" si="161"/>
        <v>0</v>
      </c>
      <c r="Z409" s="600">
        <f t="shared" si="151"/>
      </c>
      <c r="AA409" s="600">
        <f t="shared" si="152"/>
      </c>
      <c r="AB409" s="600">
        <f t="shared" si="153"/>
      </c>
      <c r="AD409" s="773"/>
      <c r="AE409" s="773"/>
      <c r="AF409" s="773"/>
    </row>
    <row r="410" spans="1:32" s="650" customFormat="1" ht="34.5" customHeight="1" thickBot="1">
      <c r="A410" s="1366" t="s">
        <v>79</v>
      </c>
      <c r="B410" s="1367"/>
      <c r="C410" s="1367"/>
      <c r="D410" s="1367"/>
      <c r="E410" s="1367"/>
      <c r="F410" s="1367"/>
      <c r="G410" s="1367"/>
      <c r="H410" s="1067">
        <f aca="true" t="shared" si="162" ref="H410:X410">SUM(H398:H408)</f>
        <v>182943.08000000002</v>
      </c>
      <c r="I410" s="1067">
        <f t="shared" si="162"/>
        <v>0</v>
      </c>
      <c r="J410" s="1067">
        <f t="shared" si="162"/>
        <v>0</v>
      </c>
      <c r="K410" s="1067">
        <f t="shared" si="162"/>
        <v>815200</v>
      </c>
      <c r="L410" s="1067">
        <f t="shared" si="162"/>
        <v>0</v>
      </c>
      <c r="M410" s="1067">
        <f t="shared" si="162"/>
        <v>815200</v>
      </c>
      <c r="N410" s="1067"/>
      <c r="O410" s="1067"/>
      <c r="P410" s="1067">
        <f t="shared" si="162"/>
        <v>815200</v>
      </c>
      <c r="Q410" s="1067"/>
      <c r="R410" s="1067"/>
      <c r="S410" s="1067">
        <f t="shared" si="162"/>
        <v>815200</v>
      </c>
      <c r="T410" s="1068"/>
      <c r="U410" s="1069"/>
      <c r="V410" s="1070">
        <f t="shared" si="162"/>
        <v>998143.08</v>
      </c>
      <c r="W410" s="710">
        <f t="shared" si="162"/>
        <v>0</v>
      </c>
      <c r="X410" s="696">
        <f t="shared" si="162"/>
        <v>0</v>
      </c>
      <c r="Z410" s="600">
        <f t="shared" si="151"/>
      </c>
      <c r="AA410" s="600">
        <f t="shared" si="152"/>
      </c>
      <c r="AB410" s="600">
        <f t="shared" si="153"/>
      </c>
      <c r="AD410" s="851"/>
      <c r="AE410" s="859"/>
      <c r="AF410" s="859"/>
    </row>
    <row r="411" spans="1:32" s="716" customFormat="1" ht="30" customHeight="1" thickBot="1">
      <c r="A411" s="714"/>
      <c r="B411" s="715"/>
      <c r="C411" s="715"/>
      <c r="D411" s="715"/>
      <c r="E411" s="522"/>
      <c r="F411" s="587"/>
      <c r="G411" s="715"/>
      <c r="H411" s="1297"/>
      <c r="I411" s="715"/>
      <c r="J411" s="715"/>
      <c r="K411" s="755"/>
      <c r="L411" s="920"/>
      <c r="M411" s="776"/>
      <c r="V411" s="1103"/>
      <c r="Z411" s="600">
        <f t="shared" si="151"/>
      </c>
      <c r="AA411" s="600">
        <f t="shared" si="152"/>
      </c>
      <c r="AB411" s="600">
        <f t="shared" si="153"/>
      </c>
      <c r="AD411" s="776"/>
      <c r="AE411" s="776"/>
      <c r="AF411" s="776"/>
    </row>
    <row r="412" spans="1:32" s="651" customFormat="1" ht="34.5" customHeight="1" thickBot="1">
      <c r="A412" s="1371" t="s">
        <v>136</v>
      </c>
      <c r="B412" s="1372"/>
      <c r="C412" s="1372"/>
      <c r="D412" s="1372"/>
      <c r="E412" s="1372"/>
      <c r="F412" s="1372"/>
      <c r="G412" s="1372"/>
      <c r="H412" s="756">
        <f aca="true" t="shared" si="163" ref="H412:X412">H254+H374+H383+H390+H395+H410</f>
        <v>5375189.36</v>
      </c>
      <c r="I412" s="756" t="e">
        <f t="shared" si="163"/>
        <v>#REF!</v>
      </c>
      <c r="J412" s="756" t="e">
        <f t="shared" si="163"/>
        <v>#REF!</v>
      </c>
      <c r="K412" s="756">
        <f t="shared" si="163"/>
        <v>8749751.82</v>
      </c>
      <c r="L412" s="756">
        <f t="shared" si="163"/>
        <v>1017459.5600000002</v>
      </c>
      <c r="M412" s="756">
        <f t="shared" si="163"/>
        <v>5160970</v>
      </c>
      <c r="N412" s="756">
        <f t="shared" si="163"/>
        <v>0</v>
      </c>
      <c r="O412" s="756">
        <f t="shared" si="163"/>
        <v>0</v>
      </c>
      <c r="P412" s="756">
        <f t="shared" si="163"/>
        <v>5272470</v>
      </c>
      <c r="Q412" s="756">
        <f t="shared" si="163"/>
        <v>0</v>
      </c>
      <c r="R412" s="756">
        <f t="shared" si="163"/>
        <v>0</v>
      </c>
      <c r="S412" s="756">
        <f t="shared" si="163"/>
        <v>4301470</v>
      </c>
      <c r="T412" s="756">
        <f t="shared" si="163"/>
        <v>0</v>
      </c>
      <c r="U412" s="756">
        <f t="shared" si="163"/>
        <v>0</v>
      </c>
      <c r="V412" s="756">
        <f t="shared" si="163"/>
        <v>10551471.360000001</v>
      </c>
      <c r="W412" s="717">
        <f t="shared" si="163"/>
        <v>0</v>
      </c>
      <c r="X412" s="717">
        <f t="shared" si="163"/>
        <v>0</v>
      </c>
      <c r="Z412" s="600"/>
      <c r="AA412" s="600">
        <f t="shared" si="152"/>
      </c>
      <c r="AB412" s="600">
        <f t="shared" si="153"/>
      </c>
      <c r="AD412" s="861"/>
      <c r="AE412" s="856"/>
      <c r="AF412" s="856"/>
    </row>
    <row r="413" spans="8:30" ht="30" customHeight="1">
      <c r="H413" s="1289"/>
      <c r="K413" s="757"/>
      <c r="L413" s="757"/>
      <c r="M413" s="757"/>
      <c r="V413" s="849"/>
      <c r="AD413" s="848"/>
    </row>
    <row r="414" spans="8:30" ht="30" customHeight="1">
      <c r="H414" s="1101"/>
      <c r="K414" s="757"/>
      <c r="L414" s="757"/>
      <c r="M414" s="757"/>
      <c r="V414" s="850"/>
      <c r="AD414" s="848"/>
    </row>
    <row r="415" spans="8:12" ht="30" customHeight="1">
      <c r="H415" s="1101"/>
      <c r="K415" s="757"/>
      <c r="L415" s="757"/>
    </row>
    <row r="416" spans="8:12" ht="30" customHeight="1">
      <c r="H416" s="1101"/>
      <c r="K416" s="757"/>
      <c r="L416" s="757"/>
    </row>
    <row r="417" spans="11:12" ht="30" customHeight="1">
      <c r="K417" s="757"/>
      <c r="L417" s="757"/>
    </row>
    <row r="418" spans="11:12" ht="30" customHeight="1">
      <c r="K418" s="757"/>
      <c r="L418" s="757"/>
    </row>
    <row r="419" spans="11:12" ht="30" customHeight="1">
      <c r="K419" s="757"/>
      <c r="L419" s="757"/>
    </row>
    <row r="420" spans="11:12" ht="30" customHeight="1">
      <c r="K420" s="757"/>
      <c r="L420" s="757"/>
    </row>
    <row r="421" spans="11:12" ht="30" customHeight="1">
      <c r="K421" s="757"/>
      <c r="L421" s="757"/>
    </row>
    <row r="422" ht="22.5"/>
    <row r="423" spans="11:12" ht="30" customHeight="1">
      <c r="K423" s="757"/>
      <c r="L423" s="757"/>
    </row>
    <row r="424" spans="11:12" ht="30" customHeight="1">
      <c r="K424" s="757"/>
      <c r="L424" s="757"/>
    </row>
    <row r="425" spans="11:12" ht="30" customHeight="1">
      <c r="K425" s="757"/>
      <c r="L425" s="757"/>
    </row>
    <row r="426" spans="11:12" ht="30" customHeight="1">
      <c r="K426" s="757"/>
      <c r="L426" s="757"/>
    </row>
    <row r="427" spans="11:12" ht="30" customHeight="1">
      <c r="K427" s="757"/>
      <c r="L427" s="757"/>
    </row>
    <row r="428" spans="11:12" ht="30" customHeight="1">
      <c r="K428" s="757"/>
      <c r="L428" s="757"/>
    </row>
    <row r="429" spans="11:12" ht="30" customHeight="1">
      <c r="K429" s="757"/>
      <c r="L429" s="757"/>
    </row>
    <row r="430" spans="11:12" ht="30" customHeight="1">
      <c r="K430" s="757"/>
      <c r="L430" s="757"/>
    </row>
    <row r="431" spans="11:12" ht="30" customHeight="1">
      <c r="K431" s="757"/>
      <c r="L431" s="757"/>
    </row>
    <row r="432" spans="11:12" ht="30" customHeight="1">
      <c r="K432" s="757"/>
      <c r="L432" s="757"/>
    </row>
    <row r="433" spans="11:12" ht="30" customHeight="1">
      <c r="K433" s="757"/>
      <c r="L433" s="757"/>
    </row>
    <row r="434" spans="11:12" ht="30" customHeight="1">
      <c r="K434" s="757"/>
      <c r="L434" s="757"/>
    </row>
    <row r="435" spans="11:12" ht="30" customHeight="1">
      <c r="K435" s="757"/>
      <c r="L435" s="757"/>
    </row>
    <row r="436" spans="11:12" ht="30" customHeight="1">
      <c r="K436" s="757"/>
      <c r="L436" s="757"/>
    </row>
    <row r="437" spans="11:12" ht="30" customHeight="1">
      <c r="K437" s="757"/>
      <c r="L437" s="757"/>
    </row>
    <row r="438" spans="11:12" ht="30" customHeight="1">
      <c r="K438" s="757"/>
      <c r="L438" s="757"/>
    </row>
    <row r="439" spans="11:12" ht="30" customHeight="1">
      <c r="K439" s="757"/>
      <c r="L439" s="757"/>
    </row>
    <row r="440" spans="11:12" ht="30" customHeight="1">
      <c r="K440" s="757"/>
      <c r="L440" s="757"/>
    </row>
    <row r="441" spans="11:12" ht="30" customHeight="1">
      <c r="K441" s="757"/>
      <c r="L441" s="757"/>
    </row>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0" customHeight="1"/>
    <row r="763" ht="30" customHeight="1"/>
    <row r="764" ht="30" customHeight="1"/>
    <row r="765" ht="30" customHeight="1"/>
    <row r="766" ht="30" customHeight="1"/>
    <row r="767" ht="30" customHeight="1"/>
    <row r="768" ht="30" customHeight="1"/>
    <row r="769" ht="30" customHeight="1"/>
    <row r="770" ht="30" customHeight="1"/>
    <row r="771" ht="30" customHeight="1"/>
    <row r="772" ht="30" customHeight="1"/>
    <row r="773" ht="30" customHeight="1"/>
    <row r="774" ht="30" customHeight="1"/>
    <row r="775" ht="30" customHeight="1"/>
    <row r="776" ht="30" customHeight="1"/>
    <row r="777" ht="30" customHeight="1"/>
    <row r="778" ht="30" customHeight="1"/>
    <row r="779" ht="30" customHeight="1"/>
    <row r="780" ht="30" customHeight="1"/>
    <row r="781" ht="30" customHeight="1"/>
    <row r="782" ht="30" customHeight="1"/>
    <row r="783" ht="30" customHeight="1"/>
    <row r="784" ht="30" customHeight="1"/>
    <row r="785" ht="30" customHeight="1"/>
    <row r="786" ht="30" customHeight="1"/>
    <row r="787" ht="30" customHeight="1"/>
    <row r="788" ht="30" customHeight="1"/>
    <row r="789" ht="30" customHeight="1"/>
    <row r="790" ht="30" customHeight="1"/>
    <row r="791" ht="30" customHeight="1"/>
    <row r="792" ht="30" customHeight="1"/>
    <row r="793" ht="30" customHeight="1"/>
    <row r="794" ht="30" customHeight="1"/>
    <row r="795" ht="30" customHeight="1"/>
    <row r="796" ht="30" customHeight="1"/>
    <row r="797" ht="30" customHeight="1"/>
    <row r="798" ht="30" customHeight="1"/>
    <row r="799" ht="30" customHeight="1"/>
    <row r="800" ht="30" customHeight="1"/>
    <row r="801" ht="30" customHeight="1"/>
    <row r="802" ht="30" customHeight="1"/>
    <row r="803" ht="30" customHeight="1"/>
    <row r="804" ht="30" customHeight="1"/>
    <row r="805" ht="30" customHeight="1"/>
    <row r="806" ht="30" customHeight="1"/>
    <row r="807" ht="30" customHeight="1"/>
    <row r="808" ht="30" customHeight="1"/>
    <row r="809" ht="30" customHeight="1"/>
    <row r="810" ht="30" customHeight="1"/>
    <row r="811" ht="30" customHeight="1"/>
    <row r="812" ht="30" customHeight="1"/>
    <row r="813" ht="30" customHeight="1"/>
    <row r="814" ht="30" customHeight="1"/>
    <row r="815" ht="30" customHeight="1"/>
    <row r="816" ht="30" customHeight="1"/>
    <row r="817" ht="30" customHeight="1"/>
    <row r="818" ht="30" customHeight="1"/>
    <row r="819" ht="30" customHeight="1"/>
    <row r="820" ht="30" customHeight="1"/>
    <row r="821" ht="30" customHeight="1"/>
    <row r="822" ht="30" customHeight="1"/>
    <row r="823" ht="30" customHeight="1"/>
    <row r="824" ht="30" customHeight="1"/>
    <row r="825" ht="30" customHeight="1"/>
    <row r="826" ht="30" customHeight="1"/>
    <row r="827" ht="30" customHeight="1"/>
    <row r="828" ht="30" customHeight="1"/>
    <row r="829" ht="30" customHeight="1"/>
    <row r="830" ht="30" customHeight="1"/>
    <row r="831" ht="30" customHeight="1"/>
    <row r="832" ht="30" customHeight="1"/>
    <row r="833" ht="30" customHeight="1"/>
    <row r="834" ht="30" customHeight="1"/>
    <row r="835" ht="30" customHeight="1"/>
    <row r="836" ht="30" customHeight="1"/>
    <row r="837" ht="30" customHeight="1"/>
    <row r="838" ht="30" customHeight="1"/>
    <row r="839" ht="30" customHeight="1"/>
    <row r="840" ht="30" customHeight="1"/>
    <row r="841" ht="30" customHeight="1"/>
    <row r="842" ht="30" customHeight="1"/>
    <row r="843" ht="30" customHeight="1"/>
    <row r="844" ht="30" customHeight="1"/>
    <row r="845" ht="30" customHeight="1"/>
    <row r="846" ht="30" customHeight="1"/>
    <row r="847" ht="30" customHeight="1"/>
    <row r="848" ht="30" customHeight="1"/>
    <row r="849" ht="30" customHeight="1"/>
    <row r="850" ht="30" customHeight="1"/>
    <row r="851" ht="30" customHeight="1"/>
    <row r="852" ht="30" customHeight="1"/>
    <row r="853" ht="30" customHeight="1"/>
    <row r="854" ht="30" customHeight="1"/>
    <row r="855" ht="30" customHeight="1"/>
    <row r="856" ht="30" customHeight="1"/>
    <row r="857" ht="30" customHeight="1"/>
    <row r="858" ht="30" customHeight="1"/>
    <row r="859" ht="30" customHeight="1"/>
    <row r="860" ht="30" customHeight="1"/>
    <row r="861" ht="30" customHeight="1"/>
    <row r="862" ht="30" customHeight="1"/>
    <row r="863" ht="30" customHeight="1"/>
    <row r="864" ht="30" customHeight="1"/>
    <row r="865" ht="30" customHeight="1"/>
    <row r="866" ht="30" customHeight="1"/>
    <row r="867" ht="30" customHeight="1"/>
    <row r="868" ht="30" customHeight="1"/>
    <row r="869" ht="30" customHeight="1"/>
    <row r="870" ht="30" customHeight="1"/>
    <row r="871" ht="30" customHeight="1"/>
    <row r="872" ht="30" customHeight="1"/>
    <row r="873" ht="30" customHeight="1"/>
    <row r="874" ht="30" customHeight="1"/>
    <row r="875" ht="30" customHeight="1"/>
    <row r="876" ht="30" customHeight="1"/>
    <row r="877" ht="30" customHeight="1"/>
    <row r="878" ht="30" customHeight="1"/>
    <row r="879" ht="30" customHeight="1"/>
    <row r="880" ht="30" customHeight="1"/>
    <row r="881" ht="30" customHeight="1"/>
    <row r="882" ht="30" customHeight="1"/>
    <row r="883" ht="30" customHeight="1"/>
    <row r="884" ht="30" customHeight="1"/>
    <row r="885" ht="30" customHeight="1"/>
    <row r="886" ht="30" customHeight="1"/>
    <row r="887" ht="30" customHeight="1"/>
    <row r="888" ht="30" customHeight="1"/>
    <row r="889" ht="30" customHeight="1"/>
    <row r="890" ht="30" customHeight="1"/>
    <row r="891" ht="30" customHeight="1"/>
    <row r="892" ht="30" customHeight="1"/>
    <row r="893" ht="30" customHeight="1"/>
    <row r="894" ht="30" customHeight="1"/>
    <row r="895" ht="30" customHeight="1"/>
    <row r="896" ht="30" customHeight="1"/>
    <row r="897" ht="30" customHeight="1"/>
    <row r="898" ht="30" customHeight="1"/>
    <row r="899" ht="30" customHeight="1"/>
    <row r="900" ht="30" customHeight="1"/>
    <row r="901" ht="30" customHeight="1"/>
    <row r="902" ht="30" customHeight="1"/>
    <row r="903" ht="30" customHeight="1"/>
    <row r="904" ht="30" customHeight="1"/>
    <row r="905" ht="30" customHeight="1"/>
    <row r="906" ht="30" customHeight="1"/>
    <row r="907" ht="30" customHeight="1"/>
    <row r="908" ht="30" customHeight="1"/>
    <row r="909" ht="30" customHeight="1"/>
    <row r="910" ht="30" customHeight="1"/>
    <row r="911" ht="30" customHeight="1"/>
    <row r="912" ht="30" customHeight="1"/>
    <row r="913" ht="30" customHeight="1"/>
    <row r="914" ht="30" customHeight="1"/>
    <row r="915" ht="30" customHeight="1"/>
    <row r="916" ht="30" customHeight="1"/>
    <row r="917" ht="30" customHeight="1"/>
    <row r="918" ht="30" customHeight="1"/>
    <row r="919" ht="30" customHeight="1"/>
    <row r="920" ht="30" customHeight="1"/>
    <row r="921" ht="30" customHeight="1"/>
    <row r="922" ht="30" customHeight="1"/>
    <row r="923" ht="30" customHeight="1"/>
    <row r="924" ht="30" customHeight="1"/>
    <row r="925" ht="30" customHeight="1"/>
    <row r="926" ht="30" customHeight="1"/>
    <row r="927" ht="30" customHeight="1"/>
    <row r="928" ht="30" customHeight="1"/>
    <row r="929" ht="30" customHeight="1"/>
    <row r="930" ht="30" customHeight="1"/>
    <row r="931" ht="30" customHeight="1"/>
    <row r="932" ht="30" customHeight="1"/>
    <row r="933" ht="30" customHeight="1"/>
    <row r="934" ht="30" customHeight="1"/>
    <row r="935" ht="30" customHeight="1"/>
    <row r="936" ht="30" customHeight="1"/>
    <row r="937" ht="30" customHeight="1"/>
    <row r="938" ht="30" customHeight="1"/>
    <row r="939" ht="30" customHeight="1"/>
    <row r="940" ht="30" customHeight="1"/>
    <row r="941" ht="30" customHeight="1"/>
    <row r="942" ht="30" customHeight="1"/>
    <row r="943" ht="30" customHeight="1"/>
    <row r="944" ht="30" customHeight="1"/>
    <row r="945" ht="30" customHeight="1"/>
    <row r="946" ht="30" customHeight="1"/>
    <row r="947" ht="30" customHeight="1"/>
    <row r="948" ht="30" customHeight="1"/>
    <row r="949" ht="30" customHeight="1"/>
    <row r="950" ht="30" customHeight="1"/>
    <row r="951" ht="30" customHeight="1"/>
    <row r="952" ht="30" customHeight="1"/>
    <row r="953" ht="30" customHeight="1"/>
    <row r="954" ht="30" customHeight="1"/>
    <row r="955" ht="30" customHeight="1"/>
    <row r="956" ht="30" customHeight="1"/>
    <row r="957" ht="30" customHeight="1"/>
    <row r="958" ht="30" customHeight="1"/>
    <row r="959" ht="30" customHeight="1"/>
    <row r="960" ht="30" customHeight="1"/>
    <row r="961" ht="30" customHeight="1"/>
    <row r="962" ht="30" customHeight="1"/>
    <row r="963" ht="30" customHeight="1"/>
    <row r="964" ht="30" customHeight="1"/>
    <row r="965" ht="30" customHeight="1"/>
    <row r="966" ht="30" customHeight="1"/>
    <row r="967" ht="30" customHeight="1"/>
    <row r="968" ht="30" customHeight="1"/>
    <row r="969" ht="30" customHeight="1"/>
    <row r="970" ht="30" customHeight="1"/>
    <row r="971" ht="30" customHeight="1"/>
    <row r="972" ht="30" customHeight="1"/>
    <row r="973" ht="30" customHeight="1"/>
    <row r="974" ht="30" customHeight="1"/>
    <row r="975" ht="30" customHeight="1"/>
    <row r="976" ht="30" customHeight="1"/>
    <row r="977" ht="30" customHeight="1"/>
    <row r="978" ht="30" customHeight="1"/>
    <row r="979" ht="30" customHeight="1"/>
    <row r="980" ht="30" customHeight="1"/>
    <row r="981" ht="30" customHeight="1"/>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30" customHeight="1"/>
    <row r="995" ht="30" customHeight="1"/>
    <row r="996" ht="30" customHeight="1"/>
    <row r="997" ht="30" customHeight="1"/>
    <row r="998" ht="30" customHeight="1"/>
    <row r="999" ht="30" customHeight="1"/>
    <row r="1000" ht="30" customHeight="1"/>
    <row r="1001" ht="30" customHeight="1"/>
    <row r="1002" ht="30" customHeight="1"/>
    <row r="1003" ht="30" customHeight="1"/>
    <row r="1004" ht="30" customHeight="1"/>
    <row r="1005" ht="30" customHeight="1"/>
    <row r="1006" ht="30" customHeight="1"/>
    <row r="1007" ht="30" customHeight="1"/>
    <row r="1008" ht="30" customHeight="1"/>
    <row r="1009" ht="30" customHeight="1"/>
    <row r="1010" ht="30" customHeight="1"/>
    <row r="1011" ht="30" customHeight="1"/>
    <row r="1012" ht="30" customHeight="1"/>
    <row r="1013" ht="30" customHeight="1"/>
    <row r="1014" ht="30" customHeight="1"/>
    <row r="1015" ht="30" customHeight="1"/>
    <row r="1016" ht="30" customHeight="1"/>
    <row r="1017" ht="30" customHeight="1"/>
    <row r="1018" ht="30" customHeight="1"/>
    <row r="1019" ht="30" customHeight="1"/>
    <row r="1020" ht="30" customHeight="1"/>
    <row r="1021" ht="30" customHeight="1"/>
    <row r="1022" ht="30" customHeight="1"/>
    <row r="1023" ht="30" customHeight="1"/>
    <row r="1024" ht="30" customHeight="1"/>
    <row r="1025" ht="30" customHeight="1"/>
    <row r="1026" ht="30" customHeight="1"/>
    <row r="1027" ht="30" customHeight="1"/>
    <row r="1028" ht="30" customHeight="1"/>
    <row r="1029" ht="30" customHeight="1"/>
    <row r="1030" ht="30" customHeight="1"/>
    <row r="1031" ht="30" customHeight="1"/>
    <row r="1032" ht="30" customHeight="1"/>
    <row r="1033" ht="30" customHeight="1"/>
    <row r="1034" ht="30" customHeight="1"/>
    <row r="1035" ht="30" customHeight="1"/>
    <row r="1036" ht="30" customHeight="1"/>
    <row r="1037" ht="30" customHeight="1"/>
    <row r="1038" ht="30" customHeight="1"/>
    <row r="1039" ht="30" customHeight="1"/>
    <row r="1040" ht="30" customHeight="1"/>
    <row r="1041" ht="30" customHeight="1"/>
    <row r="1042" ht="30" customHeight="1"/>
    <row r="1043" ht="30" customHeight="1"/>
    <row r="1044" ht="30" customHeight="1"/>
    <row r="1045" ht="30" customHeight="1"/>
    <row r="1046" ht="30" customHeight="1"/>
    <row r="1047" ht="30" customHeight="1"/>
    <row r="1048" ht="30" customHeight="1"/>
    <row r="1049" ht="30" customHeight="1"/>
    <row r="1050" ht="30" customHeight="1"/>
    <row r="1051" ht="30" customHeight="1"/>
    <row r="1052" ht="30" customHeight="1"/>
    <row r="1053" ht="30" customHeight="1"/>
    <row r="1054" ht="30" customHeight="1"/>
    <row r="1055" ht="30" customHeight="1"/>
    <row r="1056" ht="30" customHeight="1"/>
    <row r="1057" ht="30" customHeight="1"/>
    <row r="1058" ht="30" customHeight="1"/>
    <row r="1059" ht="30" customHeight="1"/>
    <row r="1060" ht="30" customHeight="1"/>
    <row r="1061" ht="30" customHeight="1"/>
    <row r="1062" ht="30" customHeight="1"/>
    <row r="1063" ht="30" customHeight="1"/>
    <row r="1064" ht="30" customHeight="1"/>
    <row r="1065" ht="30" customHeight="1"/>
    <row r="1066" ht="30" customHeight="1"/>
    <row r="1067" ht="30" customHeight="1"/>
    <row r="1068" ht="30" customHeight="1"/>
    <row r="1069" ht="30" customHeight="1"/>
    <row r="1070" ht="30" customHeight="1"/>
    <row r="1071" ht="30" customHeight="1"/>
    <row r="1072" ht="30" customHeight="1"/>
    <row r="1073" ht="30" customHeight="1"/>
    <row r="1074" ht="30" customHeight="1"/>
    <row r="1075" ht="30" customHeight="1"/>
    <row r="1076" ht="30" customHeight="1"/>
    <row r="1077" ht="30" customHeight="1"/>
    <row r="1078" ht="30" customHeight="1"/>
  </sheetData>
  <sheetProtection formatRows="0" insertColumns="0" insertRows="0" insertHyperlinks="0" deleteColumns="0" deleteRows="0" sort="0" autoFilter="0" pivotTables="0"/>
  <mergeCells count="152">
    <mergeCell ref="A295:G295"/>
    <mergeCell ref="A253:G253"/>
    <mergeCell ref="A289:G289"/>
    <mergeCell ref="A258:G258"/>
    <mergeCell ref="A256:X256"/>
    <mergeCell ref="A254:G254"/>
    <mergeCell ref="H258:X258"/>
    <mergeCell ref="A281:G281"/>
    <mergeCell ref="K255:L255"/>
    <mergeCell ref="A311:G311"/>
    <mergeCell ref="A290:G290"/>
    <mergeCell ref="H290:X290"/>
    <mergeCell ref="A205:G205"/>
    <mergeCell ref="A230:G230"/>
    <mergeCell ref="A229:G229"/>
    <mergeCell ref="A223:G223"/>
    <mergeCell ref="H230:X230"/>
    <mergeCell ref="A228:G228"/>
    <mergeCell ref="A271:G271"/>
    <mergeCell ref="A373:G373"/>
    <mergeCell ref="A71:G71"/>
    <mergeCell ref="A365:G365"/>
    <mergeCell ref="A366:G366"/>
    <mergeCell ref="A349:G349"/>
    <mergeCell ref="A350:G350"/>
    <mergeCell ref="A320:G320"/>
    <mergeCell ref="A232:G232"/>
    <mergeCell ref="A233:G233"/>
    <mergeCell ref="A210:G210"/>
    <mergeCell ref="H324:X324"/>
    <mergeCell ref="H285:X285"/>
    <mergeCell ref="H366:X366"/>
    <mergeCell ref="A356:G356"/>
    <mergeCell ref="A357:G357"/>
    <mergeCell ref="H357:X357"/>
    <mergeCell ref="H350:X350"/>
    <mergeCell ref="A348:G348"/>
    <mergeCell ref="A318:G318"/>
    <mergeCell ref="A315:G315"/>
    <mergeCell ref="Z272:AB272"/>
    <mergeCell ref="A284:G284"/>
    <mergeCell ref="A323:G323"/>
    <mergeCell ref="A272:G272"/>
    <mergeCell ref="A283:G283"/>
    <mergeCell ref="A288:G288"/>
    <mergeCell ref="A303:G303"/>
    <mergeCell ref="A310:G310"/>
    <mergeCell ref="A285:G285"/>
    <mergeCell ref="A304:G304"/>
    <mergeCell ref="Z258:AB258"/>
    <mergeCell ref="A234:G234"/>
    <mergeCell ref="H234:X234"/>
    <mergeCell ref="A242:G242"/>
    <mergeCell ref="A243:G243"/>
    <mergeCell ref="H243:X243"/>
    <mergeCell ref="A252:G252"/>
    <mergeCell ref="A246:G246"/>
    <mergeCell ref="A248:G248"/>
    <mergeCell ref="A238:G238"/>
    <mergeCell ref="A67:G67"/>
    <mergeCell ref="A144:G144"/>
    <mergeCell ref="A217:G217"/>
    <mergeCell ref="A119:G119"/>
    <mergeCell ref="A122:G122"/>
    <mergeCell ref="A131:G131"/>
    <mergeCell ref="A159:G159"/>
    <mergeCell ref="A153:G153"/>
    <mergeCell ref="A197:G197"/>
    <mergeCell ref="A172:G172"/>
    <mergeCell ref="A1:K1"/>
    <mergeCell ref="A20:G20"/>
    <mergeCell ref="A30:G30"/>
    <mergeCell ref="A37:G37"/>
    <mergeCell ref="A2:K2"/>
    <mergeCell ref="A3:C3"/>
    <mergeCell ref="A4:U4"/>
    <mergeCell ref="H193:X193"/>
    <mergeCell ref="A202:G202"/>
    <mergeCell ref="A322:G322"/>
    <mergeCell ref="A312:G312"/>
    <mergeCell ref="H312:X312"/>
    <mergeCell ref="H272:X272"/>
    <mergeCell ref="A261:G261"/>
    <mergeCell ref="A265:G265"/>
    <mergeCell ref="A270:G270"/>
    <mergeCell ref="H305:X305"/>
    <mergeCell ref="A324:G324"/>
    <mergeCell ref="A305:G305"/>
    <mergeCell ref="A412:G412"/>
    <mergeCell ref="A374:G374"/>
    <mergeCell ref="A410:G410"/>
    <mergeCell ref="A395:G395"/>
    <mergeCell ref="A409:G409"/>
    <mergeCell ref="A396:X396"/>
    <mergeCell ref="A391:X391"/>
    <mergeCell ref="A394:G394"/>
    <mergeCell ref="A390:G390"/>
    <mergeCell ref="A376:X376"/>
    <mergeCell ref="A353:G353"/>
    <mergeCell ref="A389:G389"/>
    <mergeCell ref="A364:G364"/>
    <mergeCell ref="A355:G355"/>
    <mergeCell ref="A385:X385"/>
    <mergeCell ref="A372:G372"/>
    <mergeCell ref="A359:G359"/>
    <mergeCell ref="A383:G383"/>
    <mergeCell ref="A94:G94"/>
    <mergeCell ref="A6:G6"/>
    <mergeCell ref="Z6:AB6"/>
    <mergeCell ref="H6:X6"/>
    <mergeCell ref="A41:G41"/>
    <mergeCell ref="A48:G48"/>
    <mergeCell ref="A56:G56"/>
    <mergeCell ref="A93:G93"/>
    <mergeCell ref="A64:G64"/>
    <mergeCell ref="A82:G82"/>
    <mergeCell ref="A104:G104"/>
    <mergeCell ref="H104:X104"/>
    <mergeCell ref="A137:G137"/>
    <mergeCell ref="Z104:AB104"/>
    <mergeCell ref="A108:G108"/>
    <mergeCell ref="A95:G95"/>
    <mergeCell ref="H95:X95"/>
    <mergeCell ref="Z95:AB95"/>
    <mergeCell ref="A103:G103"/>
    <mergeCell ref="A102:G102"/>
    <mergeCell ref="A150:G150"/>
    <mergeCell ref="A123:G123"/>
    <mergeCell ref="A124:G124"/>
    <mergeCell ref="H124:X124"/>
    <mergeCell ref="A146:G146"/>
    <mergeCell ref="H146:X146"/>
    <mergeCell ref="A132:G132"/>
    <mergeCell ref="A133:G133"/>
    <mergeCell ref="H133:X133"/>
    <mergeCell ref="A145:G145"/>
    <mergeCell ref="A187:G187"/>
    <mergeCell ref="H187:X187"/>
    <mergeCell ref="A185:G185"/>
    <mergeCell ref="A155:G155"/>
    <mergeCell ref="H155:X155"/>
    <mergeCell ref="H173:X173"/>
    <mergeCell ref="A241:G241"/>
    <mergeCell ref="A191:G191"/>
    <mergeCell ref="A154:G154"/>
    <mergeCell ref="A193:G193"/>
    <mergeCell ref="A162:G162"/>
    <mergeCell ref="A171:G171"/>
    <mergeCell ref="A168:G168"/>
    <mergeCell ref="A173:G173"/>
    <mergeCell ref="A192:G192"/>
    <mergeCell ref="A186:G186"/>
  </mergeCells>
  <printOptions horizontalCentered="1" verticalCentered="1"/>
  <pageMargins left="0" right="0" top="0.1968503937007874" bottom="0.1968503937007874" header="0.31496062992125984" footer="0.15748031496062992"/>
  <pageSetup horizontalDpi="600" verticalDpi="600" orientation="landscape" paperSize="8" scale="60" r:id="rId3"/>
  <rowBreaks count="7" manualBreakCount="7">
    <brk id="158" max="18" man="1"/>
    <brk id="230" max="18" man="1"/>
    <brk id="255" max="18" man="1"/>
    <brk id="285" max="18" man="1"/>
    <brk id="374" max="18" man="1"/>
    <brk id="390" max="18" man="1"/>
    <brk id="395" max="18" man="1"/>
  </rowBreaks>
  <legacyDrawing r:id="rId2"/>
</worksheet>
</file>

<file path=xl/worksheets/sheet3.xml><?xml version="1.0" encoding="utf-8"?>
<worksheet xmlns="http://schemas.openxmlformats.org/spreadsheetml/2006/main" xmlns:r="http://schemas.openxmlformats.org/officeDocument/2006/relationships">
  <dimension ref="A1:B17"/>
  <sheetViews>
    <sheetView showGridLines="0" zoomScalePageLayoutView="0" workbookViewId="0" topLeftCell="A1">
      <selection activeCell="B4" sqref="B4"/>
    </sheetView>
  </sheetViews>
  <sheetFormatPr defaultColWidth="9.140625" defaultRowHeight="12.75"/>
  <cols>
    <col min="1" max="1" width="55.140625" style="88" customWidth="1"/>
    <col min="2" max="2" width="20.7109375" style="89" customWidth="1"/>
    <col min="3" max="16384" width="9.140625" style="88" customWidth="1"/>
  </cols>
  <sheetData>
    <row r="1" spans="1:2" ht="33" customHeight="1">
      <c r="A1" s="1406" t="s">
        <v>5</v>
      </c>
      <c r="B1" s="1406"/>
    </row>
    <row r="2" spans="1:2" ht="12" customHeight="1">
      <c r="A2" s="287"/>
      <c r="B2" s="287"/>
    </row>
    <row r="3" spans="1:2" ht="19.5" customHeight="1">
      <c r="A3" s="290" t="s">
        <v>1015</v>
      </c>
      <c r="B3" s="1299">
        <v>1857679.17</v>
      </c>
    </row>
    <row r="4" spans="1:2" ht="19.5" customHeight="1">
      <c r="A4" s="290" t="s">
        <v>631</v>
      </c>
      <c r="B4" s="291">
        <f>ENTRATA!T165</f>
        <v>10565156.719999999</v>
      </c>
    </row>
    <row r="5" spans="1:2" ht="19.5" customHeight="1">
      <c r="A5" s="290" t="s">
        <v>632</v>
      </c>
      <c r="B5" s="291">
        <f>SPESA!V412</f>
        <v>10551471.360000001</v>
      </c>
    </row>
    <row r="6" spans="1:2" ht="19.5" customHeight="1">
      <c r="A6" s="290" t="s">
        <v>633</v>
      </c>
      <c r="B6" s="291">
        <f>B3+B4-B5</f>
        <v>1871364.5299999975</v>
      </c>
    </row>
    <row r="7" spans="1:2" ht="24.75" customHeight="1">
      <c r="A7" s="289"/>
      <c r="B7" s="288"/>
    </row>
    <row r="8" spans="1:2" ht="19.5" customHeight="1">
      <c r="A8" s="91" t="s">
        <v>721</v>
      </c>
      <c r="B8" s="228">
        <f>B6</f>
        <v>1871364.5299999975</v>
      </c>
    </row>
    <row r="9" spans="1:2" ht="19.5" customHeight="1">
      <c r="A9" s="91" t="s">
        <v>722</v>
      </c>
      <c r="B9" s="92"/>
    </row>
    <row r="10" spans="1:2" ht="19.5" customHeight="1" thickBot="1">
      <c r="A10" s="91" t="s">
        <v>723</v>
      </c>
      <c r="B10" s="92"/>
    </row>
    <row r="11" spans="1:2" s="90" customFormat="1" ht="19.5" customHeight="1" thickBot="1">
      <c r="A11" s="93" t="s">
        <v>724</v>
      </c>
      <c r="B11" s="94">
        <f>B8+B9-B10</f>
        <v>1871364.5299999975</v>
      </c>
    </row>
    <row r="12" spans="1:2" s="295" customFormat="1" ht="19.5" customHeight="1">
      <c r="A12" s="293"/>
      <c r="B12" s="294"/>
    </row>
    <row r="13" spans="1:2" ht="24.75" customHeight="1">
      <c r="A13" s="91" t="s">
        <v>761</v>
      </c>
      <c r="B13" s="92">
        <f>B11</f>
        <v>1871364.5299999975</v>
      </c>
    </row>
    <row r="14" spans="1:2" ht="19.5" customHeight="1">
      <c r="A14" s="91" t="s">
        <v>762</v>
      </c>
      <c r="B14" s="92"/>
    </row>
    <row r="15" spans="1:2" ht="19.5" customHeight="1" thickBot="1">
      <c r="A15" s="91" t="s">
        <v>763</v>
      </c>
      <c r="B15" s="92"/>
    </row>
    <row r="16" spans="1:2" s="90" customFormat="1" ht="19.5" customHeight="1" thickBot="1">
      <c r="A16" s="95" t="s">
        <v>764</v>
      </c>
      <c r="B16" s="96">
        <f>B13+B14-B15</f>
        <v>1871364.5299999975</v>
      </c>
    </row>
    <row r="17" spans="1:2" s="295" customFormat="1" ht="19.5" customHeight="1">
      <c r="A17" s="293"/>
      <c r="B17" s="294"/>
    </row>
  </sheetData>
  <sheetProtection/>
  <mergeCells count="1">
    <mergeCell ref="A1:B1"/>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tabColor theme="9"/>
  </sheetPr>
  <dimension ref="A1:N53"/>
  <sheetViews>
    <sheetView showGridLines="0" zoomScale="60" zoomScaleNormal="60" zoomScalePageLayoutView="0" workbookViewId="0" topLeftCell="A1">
      <selection activeCell="C7" sqref="C7"/>
    </sheetView>
  </sheetViews>
  <sheetFormatPr defaultColWidth="10.421875" defaultRowHeight="12.75"/>
  <cols>
    <col min="1" max="1" width="65.8515625" style="4" customWidth="1"/>
    <col min="2" max="2" width="20.7109375" style="4" hidden="1" customWidth="1"/>
    <col min="3" max="7" width="20.7109375" style="4" customWidth="1"/>
    <col min="8" max="8" width="80.57421875" style="4" customWidth="1"/>
    <col min="9" max="9" width="20.7109375" style="4" hidden="1" customWidth="1"/>
    <col min="10" max="14" width="20.7109375" style="4" customWidth="1"/>
    <col min="15" max="16384" width="10.421875" style="4" customWidth="1"/>
  </cols>
  <sheetData>
    <row r="1" spans="1:13" ht="21">
      <c r="A1" s="1414"/>
      <c r="B1" s="1414"/>
      <c r="C1" s="1414"/>
      <c r="D1" s="1414"/>
      <c r="E1" s="1414"/>
      <c r="F1" s="1414"/>
      <c r="G1" s="1414"/>
      <c r="H1" s="1414"/>
      <c r="I1" s="1414"/>
      <c r="J1" s="1414"/>
      <c r="K1" s="1414"/>
      <c r="L1" s="1414"/>
      <c r="M1" s="1414"/>
    </row>
    <row r="3" spans="1:13" ht="22.5" customHeight="1">
      <c r="A3" s="1415" t="s">
        <v>378</v>
      </c>
      <c r="B3" s="1415"/>
      <c r="C3" s="1415"/>
      <c r="D3" s="1415"/>
      <c r="E3" s="1415"/>
      <c r="F3" s="1415"/>
      <c r="G3" s="1415"/>
      <c r="H3" s="1415"/>
      <c r="I3" s="1415"/>
      <c r="J3" s="1415"/>
      <c r="K3" s="1415"/>
      <c r="L3" s="1415"/>
      <c r="M3" s="1415"/>
    </row>
    <row r="4" ht="12.75" thickBot="1"/>
    <row r="5" spans="1:14" ht="90" customHeight="1">
      <c r="A5" s="19" t="s">
        <v>257</v>
      </c>
      <c r="B5" s="98" t="s">
        <v>212</v>
      </c>
      <c r="C5" s="98" t="s">
        <v>765</v>
      </c>
      <c r="D5" s="98" t="s">
        <v>634</v>
      </c>
      <c r="E5" s="98" t="s">
        <v>766</v>
      </c>
      <c r="F5" s="119" t="s">
        <v>682</v>
      </c>
      <c r="G5" s="99" t="s">
        <v>767</v>
      </c>
      <c r="H5" s="19" t="s">
        <v>258</v>
      </c>
      <c r="I5" s="98" t="s">
        <v>214</v>
      </c>
      <c r="J5" s="98" t="s">
        <v>768</v>
      </c>
      <c r="K5" s="98" t="s">
        <v>634</v>
      </c>
      <c r="L5" s="98" t="s">
        <v>766</v>
      </c>
      <c r="M5" s="119" t="s">
        <v>682</v>
      </c>
      <c r="N5" s="99" t="s">
        <v>767</v>
      </c>
    </row>
    <row r="6" spans="1:14" ht="14.25">
      <c r="A6" s="22"/>
      <c r="B6" s="5"/>
      <c r="C6" s="6"/>
      <c r="D6" s="7"/>
      <c r="E6" s="113"/>
      <c r="F6" s="121"/>
      <c r="G6" s="120"/>
      <c r="H6" s="34"/>
      <c r="I6" s="5"/>
      <c r="J6" s="8"/>
      <c r="K6" s="6"/>
      <c r="L6" s="121"/>
      <c r="M6" s="121"/>
      <c r="N6" s="126"/>
    </row>
    <row r="7" spans="1:14" ht="19.5" customHeight="1">
      <c r="A7" s="23" t="s">
        <v>297</v>
      </c>
      <c r="B7" s="54"/>
      <c r="C7" s="106"/>
      <c r="D7" s="106"/>
      <c r="E7" s="114">
        <f>CASSA!B3</f>
        <v>1857679.17</v>
      </c>
      <c r="F7" s="114"/>
      <c r="G7" s="107"/>
      <c r="H7" s="22"/>
      <c r="I7" s="108"/>
      <c r="J7" s="10"/>
      <c r="K7" s="11"/>
      <c r="L7" s="62"/>
      <c r="M7" s="62"/>
      <c r="N7" s="152"/>
    </row>
    <row r="8" spans="1:14" ht="14.25">
      <c r="A8" s="24"/>
      <c r="B8" s="1"/>
      <c r="C8" s="11"/>
      <c r="D8" s="10"/>
      <c r="E8" s="115"/>
      <c r="F8" s="62"/>
      <c r="G8" s="26"/>
      <c r="H8" s="22"/>
      <c r="I8" s="109"/>
      <c r="J8" s="10"/>
      <c r="K8" s="10"/>
      <c r="L8" s="115"/>
      <c r="M8" s="62"/>
      <c r="N8" s="152"/>
    </row>
    <row r="9" spans="1:14" ht="19.5" customHeight="1">
      <c r="A9" s="23" t="s">
        <v>298</v>
      </c>
      <c r="B9" s="230"/>
      <c r="C9" s="54">
        <f>ENTRATA!I169+ENTRATA!I168</f>
        <v>102336</v>
      </c>
      <c r="D9" s="54"/>
      <c r="E9" s="232"/>
      <c r="F9" s="116"/>
      <c r="G9" s="100"/>
      <c r="H9" s="35" t="s">
        <v>299</v>
      </c>
      <c r="I9" s="12"/>
      <c r="J9" s="54"/>
      <c r="K9" s="54"/>
      <c r="L9" s="116"/>
      <c r="M9" s="116"/>
      <c r="N9" s="153"/>
    </row>
    <row r="10" spans="1:14" ht="14.25">
      <c r="A10" s="22"/>
      <c r="B10" s="13"/>
      <c r="C10" s="11"/>
      <c r="D10" s="10"/>
      <c r="E10" s="115"/>
      <c r="F10" s="162"/>
      <c r="G10" s="26"/>
      <c r="H10" s="22"/>
      <c r="I10" s="13"/>
      <c r="J10" s="10"/>
      <c r="K10" s="11"/>
      <c r="L10" s="62"/>
      <c r="M10" s="62"/>
      <c r="N10" s="152"/>
    </row>
    <row r="11" spans="1:14" ht="19.5" customHeight="1">
      <c r="A11" s="25" t="s">
        <v>300</v>
      </c>
      <c r="B11" s="231"/>
      <c r="C11" s="54">
        <f>ENTRATA!I166+ENTRATA!I167</f>
        <v>1017459.56</v>
      </c>
      <c r="D11" s="54">
        <f>SPESA!N412</f>
        <v>0</v>
      </c>
      <c r="E11" s="116"/>
      <c r="F11" s="116">
        <f>SPESA!Q412</f>
        <v>0</v>
      </c>
      <c r="G11" s="100">
        <f>SPESA!T412</f>
        <v>0</v>
      </c>
      <c r="H11" s="36"/>
      <c r="I11" s="14"/>
      <c r="J11" s="10"/>
      <c r="K11" s="2"/>
      <c r="L11" s="125"/>
      <c r="M11" s="125"/>
      <c r="N11" s="152"/>
    </row>
    <row r="12" spans="1:14" ht="13.5">
      <c r="A12" s="22"/>
      <c r="B12" s="10"/>
      <c r="C12" s="11"/>
      <c r="D12" s="11"/>
      <c r="E12" s="62"/>
      <c r="F12" s="62"/>
      <c r="G12" s="26"/>
      <c r="H12" s="22"/>
      <c r="I12" s="10"/>
      <c r="J12" s="722"/>
      <c r="K12" s="11"/>
      <c r="L12" s="62"/>
      <c r="M12" s="62"/>
      <c r="N12" s="152"/>
    </row>
    <row r="13" spans="1:14" ht="19.5" customHeight="1">
      <c r="A13" s="27" t="s">
        <v>301</v>
      </c>
      <c r="B13" s="54"/>
      <c r="C13" s="54">
        <f>ENTRATA!I17</f>
        <v>1695500.5899999999</v>
      </c>
      <c r="D13" s="54">
        <f>ENTRATA!K17</f>
        <v>1723000</v>
      </c>
      <c r="E13" s="116">
        <f>ENTRATA!T17</f>
        <v>2828865.75</v>
      </c>
      <c r="F13" s="116">
        <f>ENTRATA!N17</f>
        <v>1708000</v>
      </c>
      <c r="G13" s="100">
        <f>ENTRATA!Q17</f>
        <v>1682000</v>
      </c>
      <c r="H13" s="30" t="s">
        <v>302</v>
      </c>
      <c r="I13" s="101"/>
      <c r="J13" s="101">
        <f>SPESA!K254+SPESA!L254</f>
        <v>2546757.4499999997</v>
      </c>
      <c r="K13" s="101">
        <f>SPESA!M254+SPESA!N254</f>
        <v>2265960</v>
      </c>
      <c r="L13" s="159">
        <f>SPESA!V254</f>
        <v>3085039.74</v>
      </c>
      <c r="M13" s="116">
        <f>SPESA!P254+SPESA!Q254</f>
        <v>2194660</v>
      </c>
      <c r="N13" s="154">
        <f>SPESA!S254+SPESA!T254</f>
        <v>2187975</v>
      </c>
    </row>
    <row r="14" spans="1:14" ht="19.5" customHeight="1">
      <c r="A14" s="28"/>
      <c r="B14" s="15"/>
      <c r="C14" s="15"/>
      <c r="D14" s="15"/>
      <c r="E14" s="117"/>
      <c r="F14" s="117"/>
      <c r="G14" s="29"/>
      <c r="H14" s="38" t="s">
        <v>303</v>
      </c>
      <c r="I14" s="39"/>
      <c r="J14" s="247"/>
      <c r="K14" s="247"/>
      <c r="L14" s="248"/>
      <c r="M14" s="249"/>
      <c r="N14" s="292"/>
    </row>
    <row r="15" spans="1:14" ht="19.5" customHeight="1">
      <c r="A15" s="30" t="s">
        <v>304</v>
      </c>
      <c r="B15" s="54"/>
      <c r="C15" s="54">
        <f>ENTRATA!I47</f>
        <v>544886.79</v>
      </c>
      <c r="D15" s="54">
        <f>ENTRATA!K47</f>
        <v>377220</v>
      </c>
      <c r="E15" s="116">
        <f>ENTRATA!T47</f>
        <v>570899.3</v>
      </c>
      <c r="F15" s="116">
        <f>ENTRATA!N47</f>
        <v>353220</v>
      </c>
      <c r="G15" s="100">
        <f>ENTRATA!Q47</f>
        <v>353220</v>
      </c>
      <c r="H15" s="28"/>
      <c r="I15" s="1"/>
      <c r="J15" s="1"/>
      <c r="K15" s="1"/>
      <c r="L15" s="3"/>
      <c r="M15" s="125"/>
      <c r="N15" s="152"/>
    </row>
    <row r="16" spans="1:14" ht="13.5">
      <c r="A16" s="28"/>
      <c r="B16" s="15"/>
      <c r="C16" s="15"/>
      <c r="D16" s="15"/>
      <c r="E16" s="117"/>
      <c r="F16" s="117"/>
      <c r="G16" s="29"/>
      <c r="H16" s="28"/>
      <c r="I16" s="16"/>
      <c r="J16" s="16"/>
      <c r="K16" s="16"/>
      <c r="L16" s="68"/>
      <c r="M16" s="117"/>
      <c r="N16" s="152"/>
    </row>
    <row r="17" spans="1:14" ht="19.5" customHeight="1">
      <c r="A17" s="30" t="s">
        <v>305</v>
      </c>
      <c r="B17" s="54"/>
      <c r="C17" s="54">
        <f>ENTRATA!I79</f>
        <v>326823.44</v>
      </c>
      <c r="D17" s="54">
        <f>ENTRATA!K79</f>
        <v>301050</v>
      </c>
      <c r="E17" s="116">
        <f>ENTRATA!T79</f>
        <v>610850.8899999999</v>
      </c>
      <c r="F17" s="116">
        <f>ENTRATA!N79</f>
        <v>301050</v>
      </c>
      <c r="G17" s="100">
        <f>ENTRATA!Q79</f>
        <v>301050</v>
      </c>
      <c r="H17" s="28"/>
      <c r="I17" s="16"/>
      <c r="J17" s="16"/>
      <c r="K17" s="16"/>
      <c r="L17" s="68"/>
      <c r="M17" s="117"/>
      <c r="N17" s="152"/>
    </row>
    <row r="18" spans="1:14" ht="13.5">
      <c r="A18" s="28"/>
      <c r="B18" s="15"/>
      <c r="C18" s="15"/>
      <c r="D18" s="15"/>
      <c r="E18" s="117"/>
      <c r="F18" s="117"/>
      <c r="G18" s="29"/>
      <c r="H18" s="28"/>
      <c r="I18" s="16"/>
      <c r="J18" s="721"/>
      <c r="K18" s="16"/>
      <c r="L18" s="68"/>
      <c r="M18" s="117"/>
      <c r="N18" s="152"/>
    </row>
    <row r="19" spans="1:14" ht="19.5" customHeight="1">
      <c r="A19" s="30" t="s">
        <v>306</v>
      </c>
      <c r="B19" s="54"/>
      <c r="C19" s="54">
        <f>ENTRATA!I128</f>
        <v>4165005</v>
      </c>
      <c r="D19" s="54">
        <f>ENTRATA!K128</f>
        <v>844500</v>
      </c>
      <c r="E19" s="116">
        <f>ENTRATA!T128</f>
        <v>4463053.9</v>
      </c>
      <c r="F19" s="116">
        <f>ENTRATA!N128</f>
        <v>1195000</v>
      </c>
      <c r="G19" s="100">
        <f>ENTRATA!Q128</f>
        <v>250000</v>
      </c>
      <c r="H19" s="30" t="s">
        <v>310</v>
      </c>
      <c r="I19" s="101"/>
      <c r="J19" s="101">
        <f>SPESA!K374+SPESA!L374</f>
        <v>5388391.93</v>
      </c>
      <c r="K19" s="101">
        <f>SPESA!M374+SPESA!N374</f>
        <v>846500</v>
      </c>
      <c r="L19" s="159">
        <f>SPESA!V374</f>
        <v>5180506.15</v>
      </c>
      <c r="M19" s="116">
        <f>SPESA!P374+SPESA!Q374</f>
        <v>1197000</v>
      </c>
      <c r="N19" s="154">
        <f>SPESA!S374</f>
        <v>252000</v>
      </c>
    </row>
    <row r="20" spans="1:14" ht="19.5" customHeight="1">
      <c r="A20" s="28"/>
      <c r="B20" s="15"/>
      <c r="C20" s="15"/>
      <c r="D20" s="15"/>
      <c r="E20" s="117"/>
      <c r="F20" s="117"/>
      <c r="G20" s="29"/>
      <c r="H20" s="38" t="s">
        <v>303</v>
      </c>
      <c r="I20" s="39"/>
      <c r="J20" s="247"/>
      <c r="K20" s="247"/>
      <c r="L20" s="248"/>
      <c r="M20" s="249"/>
      <c r="N20" s="292"/>
    </row>
    <row r="21" spans="1:14" ht="14.25">
      <c r="A21" s="28"/>
      <c r="B21" s="15"/>
      <c r="C21" s="15"/>
      <c r="D21" s="15"/>
      <c r="E21" s="117"/>
      <c r="F21" s="117"/>
      <c r="G21" s="29"/>
      <c r="H21" s="37"/>
      <c r="I21" s="1"/>
      <c r="J21" s="1"/>
      <c r="K21" s="1"/>
      <c r="L21" s="3"/>
      <c r="M21" s="125"/>
      <c r="N21" s="152"/>
    </row>
    <row r="22" spans="1:14" ht="19.5" customHeight="1">
      <c r="A22" s="30" t="s">
        <v>311</v>
      </c>
      <c r="B22" s="54"/>
      <c r="C22" s="54">
        <f>ENTRATA!I133</f>
        <v>0</v>
      </c>
      <c r="D22" s="54">
        <f>ENTRATA!K133</f>
        <v>200000</v>
      </c>
      <c r="E22" s="116">
        <f>ENTRATA!T133</f>
        <v>200000</v>
      </c>
      <c r="F22" s="116">
        <f>ENTRATA!N133</f>
        <v>0</v>
      </c>
      <c r="G22" s="100">
        <f>ENTRATA!Q133</f>
        <v>0</v>
      </c>
      <c r="H22" s="30" t="s">
        <v>312</v>
      </c>
      <c r="I22" s="101"/>
      <c r="J22" s="101">
        <f>SPESA!K383</f>
        <v>0</v>
      </c>
      <c r="K22" s="101">
        <f>SPESA!M383</f>
        <v>200000</v>
      </c>
      <c r="L22" s="159">
        <f>SPESA!V383</f>
        <v>200000</v>
      </c>
      <c r="M22" s="116">
        <f>SPESA!P383</f>
        <v>0</v>
      </c>
      <c r="N22" s="154">
        <f>SPESA!S383</f>
        <v>0</v>
      </c>
    </row>
    <row r="23" spans="1:14" ht="13.5">
      <c r="A23" s="28"/>
      <c r="B23" s="15"/>
      <c r="C23" s="15"/>
      <c r="D23" s="15"/>
      <c r="E23" s="117"/>
      <c r="F23" s="117"/>
      <c r="G23" s="29"/>
      <c r="H23" s="28"/>
      <c r="I23" s="16"/>
      <c r="J23" s="16"/>
      <c r="K23" s="16"/>
      <c r="L23" s="68"/>
      <c r="M23" s="117"/>
      <c r="N23" s="152"/>
    </row>
    <row r="24" spans="1:14" ht="13.5">
      <c r="A24" s="28"/>
      <c r="B24" s="15"/>
      <c r="C24" s="15"/>
      <c r="D24" s="15"/>
      <c r="E24" s="117"/>
      <c r="F24" s="117"/>
      <c r="G24" s="29"/>
      <c r="H24" s="28"/>
      <c r="I24" s="16"/>
      <c r="J24" s="16"/>
      <c r="K24" s="16"/>
      <c r="L24" s="68"/>
      <c r="M24" s="117"/>
      <c r="N24" s="152"/>
    </row>
    <row r="25" spans="1:14" ht="25.5" customHeight="1" thickBot="1">
      <c r="A25" s="31" t="s">
        <v>377</v>
      </c>
      <c r="B25" s="102"/>
      <c r="C25" s="102">
        <f>+C13+C15+C17+C19+C22</f>
        <v>6732215.82</v>
      </c>
      <c r="D25" s="102">
        <f>+D13+D15+D17+D19+D22</f>
        <v>3445770</v>
      </c>
      <c r="E25" s="102">
        <f>+E13+E15+E17+E19+E22</f>
        <v>8673669.84</v>
      </c>
      <c r="F25" s="102">
        <f>+F13+F15+F17+F19+F22</f>
        <v>3557270</v>
      </c>
      <c r="G25" s="102">
        <f>+G13+G15+G17+G19+G22</f>
        <v>2586270</v>
      </c>
      <c r="H25" s="31" t="s">
        <v>376</v>
      </c>
      <c r="I25" s="104"/>
      <c r="J25" s="104">
        <f>+J13+J19+J22</f>
        <v>7935149.379999999</v>
      </c>
      <c r="K25" s="104">
        <f>+K13+K19+K22</f>
        <v>3312460</v>
      </c>
      <c r="L25" s="104">
        <f>+L13+L19+L22</f>
        <v>8465545.89</v>
      </c>
      <c r="M25" s="118">
        <f>+M13+M19+M22</f>
        <v>3391660</v>
      </c>
      <c r="N25" s="103">
        <f>+N13+N19+N22</f>
        <v>2439975</v>
      </c>
    </row>
    <row r="26" spans="1:14" ht="12">
      <c r="A26" s="32"/>
      <c r="B26" s="17"/>
      <c r="C26" s="15"/>
      <c r="D26" s="16"/>
      <c r="E26" s="68"/>
      <c r="F26" s="122"/>
      <c r="G26" s="29"/>
      <c r="H26" s="32"/>
      <c r="I26" s="17"/>
      <c r="J26" s="16"/>
      <c r="K26" s="15"/>
      <c r="L26" s="117"/>
      <c r="M26" s="117"/>
      <c r="N26" s="126"/>
    </row>
    <row r="27" spans="1:14" ht="13.5">
      <c r="A27" s="28"/>
      <c r="B27" s="16"/>
      <c r="C27" s="15"/>
      <c r="D27" s="16"/>
      <c r="E27" s="68"/>
      <c r="F27" s="15"/>
      <c r="G27" s="29"/>
      <c r="H27" s="28"/>
      <c r="I27" s="16"/>
      <c r="J27" s="16"/>
      <c r="K27" s="15"/>
      <c r="L27" s="117"/>
      <c r="M27" s="117"/>
      <c r="N27" s="152"/>
    </row>
    <row r="28" spans="1:14" ht="19.5" customHeight="1">
      <c r="A28" s="30" t="s">
        <v>313</v>
      </c>
      <c r="B28" s="54"/>
      <c r="C28" s="54">
        <f>ENTRATA!I142</f>
        <v>200000</v>
      </c>
      <c r="D28" s="54">
        <f>ENTRATA!K142</f>
        <v>0</v>
      </c>
      <c r="E28" s="116">
        <f>ENTRATA!T142</f>
        <v>18119.53</v>
      </c>
      <c r="F28" s="54">
        <f>ENTRATA!N142</f>
        <v>0</v>
      </c>
      <c r="G28" s="100">
        <f>ENTRATA!Q142</f>
        <v>0</v>
      </c>
      <c r="H28" s="30" t="s">
        <v>314</v>
      </c>
      <c r="I28" s="54"/>
      <c r="J28" s="101">
        <f>SPESA!K390</f>
        <v>116862</v>
      </c>
      <c r="K28" s="101">
        <f>SPESA!M390</f>
        <v>133310</v>
      </c>
      <c r="L28" s="159">
        <f>SPESA!V390</f>
        <v>187782.39</v>
      </c>
      <c r="M28" s="116">
        <f>SPESA!P390</f>
        <v>165610</v>
      </c>
      <c r="N28" s="154">
        <f>SPESA!S390</f>
        <v>146295</v>
      </c>
    </row>
    <row r="29" spans="1:14" ht="13.5">
      <c r="A29" s="28"/>
      <c r="B29" s="15"/>
      <c r="C29" s="15"/>
      <c r="D29" s="15"/>
      <c r="E29" s="117"/>
      <c r="F29" s="15"/>
      <c r="G29" s="29"/>
      <c r="H29" s="28"/>
      <c r="I29" s="15"/>
      <c r="J29" s="16"/>
      <c r="K29" s="16"/>
      <c r="L29" s="68"/>
      <c r="M29" s="117"/>
      <c r="N29" s="152"/>
    </row>
    <row r="30" spans="1:14" ht="19.5" customHeight="1">
      <c r="A30" s="30" t="s">
        <v>315</v>
      </c>
      <c r="B30" s="54"/>
      <c r="C30" s="54">
        <f>ENTRATA!I147</f>
        <v>900000</v>
      </c>
      <c r="D30" s="54">
        <f>ENTRATA!K147</f>
        <v>900000</v>
      </c>
      <c r="E30" s="116">
        <f>ENTRATA!T147</f>
        <v>900000</v>
      </c>
      <c r="F30" s="54">
        <f>ENTRATA!N147</f>
        <v>900000</v>
      </c>
      <c r="G30" s="100">
        <f>ENTRATA!Q147</f>
        <v>900000</v>
      </c>
      <c r="H30" s="30" t="s">
        <v>316</v>
      </c>
      <c r="I30" s="54"/>
      <c r="J30" s="101">
        <f>SPESA!K395</f>
        <v>900000</v>
      </c>
      <c r="K30" s="101">
        <f>SPESA!M395</f>
        <v>900000</v>
      </c>
      <c r="L30" s="159">
        <f>SPESA!V395</f>
        <v>900000</v>
      </c>
      <c r="M30" s="116">
        <f>SPESA!P395</f>
        <v>900000</v>
      </c>
      <c r="N30" s="154">
        <f>SPESA!S394</f>
        <v>900000</v>
      </c>
    </row>
    <row r="31" spans="1:14" ht="13.5">
      <c r="A31" s="28"/>
      <c r="B31" s="15"/>
      <c r="C31" s="15"/>
      <c r="D31" s="15"/>
      <c r="E31" s="117"/>
      <c r="F31" s="15"/>
      <c r="G31" s="29"/>
      <c r="H31" s="28"/>
      <c r="I31" s="15"/>
      <c r="J31" s="16"/>
      <c r="K31" s="16"/>
      <c r="L31" s="68"/>
      <c r="M31" s="117"/>
      <c r="N31" s="152"/>
    </row>
    <row r="32" spans="1:14" ht="19.5" customHeight="1">
      <c r="A32" s="30" t="s">
        <v>317</v>
      </c>
      <c r="B32" s="54"/>
      <c r="C32" s="54">
        <f>ENTRATA!I163</f>
        <v>815200</v>
      </c>
      <c r="D32" s="54">
        <f>ENTRATA!K163</f>
        <v>815200</v>
      </c>
      <c r="E32" s="116">
        <f>ENTRATA!T163</f>
        <v>973367.35</v>
      </c>
      <c r="F32" s="54">
        <f>ENTRATA!N163</f>
        <v>815200</v>
      </c>
      <c r="G32" s="100">
        <f>ENTRATA!Q163</f>
        <v>815200</v>
      </c>
      <c r="H32" s="30" t="s">
        <v>318</v>
      </c>
      <c r="I32" s="54"/>
      <c r="J32" s="101">
        <f>SPESA!K410</f>
        <v>815200</v>
      </c>
      <c r="K32" s="101">
        <f>SPESA!M410</f>
        <v>815200</v>
      </c>
      <c r="L32" s="159">
        <f>SPESA!V410</f>
        <v>998143.08</v>
      </c>
      <c r="M32" s="116">
        <f>SPESA!P410</f>
        <v>815200</v>
      </c>
      <c r="N32" s="154">
        <f>SPESA!S410</f>
        <v>815200</v>
      </c>
    </row>
    <row r="33" spans="1:14" ht="13.5">
      <c r="A33" s="28"/>
      <c r="B33" s="15"/>
      <c r="C33" s="15"/>
      <c r="D33" s="16"/>
      <c r="E33" s="68"/>
      <c r="F33" s="15"/>
      <c r="G33" s="29"/>
      <c r="H33" s="28"/>
      <c r="I33" s="15"/>
      <c r="J33" s="16"/>
      <c r="K33" s="16"/>
      <c r="L33" s="68"/>
      <c r="M33" s="117"/>
      <c r="N33" s="152"/>
    </row>
    <row r="34" spans="1:14" ht="15" thickBot="1">
      <c r="A34" s="31" t="s">
        <v>319</v>
      </c>
      <c r="B34" s="102"/>
      <c r="C34" s="102">
        <f>+C25+C28+C30+C32</f>
        <v>8647415.82</v>
      </c>
      <c r="D34" s="102">
        <f>+D25+D28+D30+D32</f>
        <v>5160970</v>
      </c>
      <c r="E34" s="102">
        <f>+E25+E28+E30+E32</f>
        <v>10565156.719999999</v>
      </c>
      <c r="F34" s="102">
        <f>+F25+F28+F30+F32</f>
        <v>5272470</v>
      </c>
      <c r="G34" s="103">
        <f>+G25+G28+G30+G32</f>
        <v>4301470</v>
      </c>
      <c r="H34" s="31" t="s">
        <v>319</v>
      </c>
      <c r="I34" s="102">
        <f aca="true" t="shared" si="0" ref="I34:N34">+I25+I28+I30+I32</f>
        <v>0</v>
      </c>
      <c r="J34" s="102">
        <f t="shared" si="0"/>
        <v>9767211.379999999</v>
      </c>
      <c r="K34" s="102">
        <f t="shared" si="0"/>
        <v>5160970</v>
      </c>
      <c r="L34" s="102">
        <f t="shared" si="0"/>
        <v>10551471.360000001</v>
      </c>
      <c r="M34" s="118">
        <f t="shared" si="0"/>
        <v>5272470</v>
      </c>
      <c r="N34" s="103">
        <f t="shared" si="0"/>
        <v>4301470</v>
      </c>
    </row>
    <row r="35" spans="1:14" ht="12">
      <c r="A35" s="33"/>
      <c r="B35" s="68"/>
      <c r="C35" s="68"/>
      <c r="D35" s="68"/>
      <c r="E35" s="68"/>
      <c r="F35" s="68"/>
      <c r="G35" s="68"/>
      <c r="H35" s="18"/>
      <c r="I35" s="68"/>
      <c r="J35" s="68"/>
      <c r="K35" s="68"/>
      <c r="L35" s="68"/>
      <c r="M35" s="68"/>
      <c r="N35" s="18"/>
    </row>
    <row r="36" spans="1:14" ht="12">
      <c r="A36" s="33"/>
      <c r="B36" s="65"/>
      <c r="C36" s="65"/>
      <c r="D36" s="65"/>
      <c r="E36" s="65"/>
      <c r="F36" s="65"/>
      <c r="G36" s="65"/>
      <c r="H36" s="18"/>
      <c r="I36" s="65"/>
      <c r="J36" s="65"/>
      <c r="K36" s="65"/>
      <c r="L36" s="65"/>
      <c r="M36" s="65"/>
      <c r="N36" s="55"/>
    </row>
    <row r="37" spans="1:14" ht="36" customHeight="1" thickBot="1">
      <c r="A37" s="31" t="s">
        <v>320</v>
      </c>
      <c r="B37" s="128">
        <f>+B34+B7</f>
        <v>0</v>
      </c>
      <c r="C37" s="128">
        <f>+C9+C11+C34</f>
        <v>9767211.38</v>
      </c>
      <c r="D37" s="128">
        <f>+D34+D9+D11</f>
        <v>5160970</v>
      </c>
      <c r="E37" s="102">
        <f>E7+E34</f>
        <v>12422835.889999999</v>
      </c>
      <c r="F37" s="102">
        <f>+F34+F9+F11</f>
        <v>5272470</v>
      </c>
      <c r="G37" s="102">
        <f>+G34+G9+G11</f>
        <v>4301470</v>
      </c>
      <c r="H37" s="31" t="s">
        <v>321</v>
      </c>
      <c r="I37" s="102">
        <f>+I34</f>
        <v>0</v>
      </c>
      <c r="J37" s="102">
        <f>+J34+J9</f>
        <v>9767211.379999999</v>
      </c>
      <c r="K37" s="102">
        <f>+K34+K9</f>
        <v>5160970</v>
      </c>
      <c r="L37" s="102">
        <f>+L34+L9</f>
        <v>10551471.360000001</v>
      </c>
      <c r="M37" s="118">
        <f>+M34+M9</f>
        <v>5272470</v>
      </c>
      <c r="N37" s="103">
        <f>+N34+N9</f>
        <v>4301470</v>
      </c>
    </row>
    <row r="38" spans="1:14" ht="27.75" customHeight="1" thickBot="1">
      <c r="A38" s="124" t="s">
        <v>372</v>
      </c>
      <c r="B38" s="127">
        <f>+B37-I37</f>
        <v>0</v>
      </c>
      <c r="C38" s="250"/>
      <c r="D38" s="251"/>
      <c r="E38" s="123">
        <f>+E37-L37</f>
        <v>1871364.5299999975</v>
      </c>
      <c r="F38" s="3"/>
      <c r="G38" s="3"/>
      <c r="H38" s="18"/>
      <c r="I38" s="18"/>
      <c r="J38" s="85">
        <f>C37-J37</f>
        <v>0</v>
      </c>
      <c r="K38" s="85">
        <f>D37-K37</f>
        <v>0</v>
      </c>
      <c r="L38" s="85"/>
      <c r="M38" s="85">
        <f>F37-M37</f>
        <v>0</v>
      </c>
      <c r="N38" s="85">
        <f>G37-N37</f>
        <v>0</v>
      </c>
    </row>
    <row r="40" spans="1:14" s="86" customFormat="1" ht="24.75" customHeight="1">
      <c r="A40" s="1409"/>
      <c r="B40" s="1409"/>
      <c r="C40" s="160"/>
      <c r="D40" s="160"/>
      <c r="E40" s="160"/>
      <c r="F40" s="160"/>
      <c r="G40" s="160"/>
      <c r="H40" s="1412" t="s">
        <v>180</v>
      </c>
      <c r="I40" s="1413"/>
      <c r="J40" s="87">
        <f>C13+C15+C17+ENTRATA!I166+ENTRATA!I168</f>
        <v>2665619.4499999997</v>
      </c>
      <c r="K40" s="87">
        <f>D13+D15+D17</f>
        <v>2401270</v>
      </c>
      <c r="L40" s="160"/>
      <c r="M40" s="87">
        <f>F13+F15+F17</f>
        <v>2362270</v>
      </c>
      <c r="N40" s="87">
        <f>G13+G15+G17</f>
        <v>2336270</v>
      </c>
    </row>
    <row r="41" spans="1:14" s="86" customFormat="1" ht="24.75" customHeight="1">
      <c r="A41" s="1409"/>
      <c r="B41" s="1409"/>
      <c r="C41" s="160"/>
      <c r="D41" s="160"/>
      <c r="E41" s="163"/>
      <c r="F41" s="160"/>
      <c r="G41" s="160"/>
      <c r="H41" s="1412" t="s">
        <v>181</v>
      </c>
      <c r="I41" s="1413"/>
      <c r="J41" s="87">
        <f>J13</f>
        <v>2546757.4499999997</v>
      </c>
      <c r="K41" s="87">
        <f>SPESA!M254</f>
        <v>2265960</v>
      </c>
      <c r="L41" s="160"/>
      <c r="M41" s="87">
        <f>SPESA!P254</f>
        <v>2194660</v>
      </c>
      <c r="N41" s="87">
        <f>SPESA!S254</f>
        <v>2187975</v>
      </c>
    </row>
    <row r="42" spans="1:14" s="86" customFormat="1" ht="24.75" customHeight="1">
      <c r="A42" s="1410"/>
      <c r="B42" s="1410"/>
      <c r="C42" s="160"/>
      <c r="D42" s="160"/>
      <c r="E42" s="163"/>
      <c r="F42" s="160"/>
      <c r="G42" s="160"/>
      <c r="H42" s="111" t="s">
        <v>234</v>
      </c>
      <c r="I42" s="112"/>
      <c r="J42" s="87">
        <f>J28</f>
        <v>116862</v>
      </c>
      <c r="K42" s="87">
        <f>K28</f>
        <v>133310</v>
      </c>
      <c r="L42" s="160"/>
      <c r="M42" s="87">
        <f>M28</f>
        <v>165610</v>
      </c>
      <c r="N42" s="87">
        <f>N28</f>
        <v>146295</v>
      </c>
    </row>
    <row r="43" spans="1:14" s="86" customFormat="1" ht="24.75" customHeight="1">
      <c r="A43" s="163"/>
      <c r="B43" s="163"/>
      <c r="C43" s="163"/>
      <c r="D43" s="163"/>
      <c r="E43" s="163"/>
      <c r="F43" s="163"/>
      <c r="G43" s="163"/>
      <c r="H43" s="111" t="s">
        <v>235</v>
      </c>
      <c r="I43" s="112"/>
      <c r="J43" s="110">
        <f>J40-J41-J42</f>
        <v>2000</v>
      </c>
      <c r="K43" s="110">
        <f>K40-K41-K42</f>
        <v>2000</v>
      </c>
      <c r="L43" s="85"/>
      <c r="M43" s="110">
        <f>M40-M41-M42</f>
        <v>2000</v>
      </c>
      <c r="N43" s="110">
        <f>N40-N41-N42</f>
        <v>2000</v>
      </c>
    </row>
    <row r="44" spans="1:12" s="233" customFormat="1" ht="24.75" customHeight="1">
      <c r="A44" s="1411"/>
      <c r="B44" s="1411"/>
      <c r="C44" s="235"/>
      <c r="D44" s="235"/>
      <c r="E44" s="235"/>
      <c r="F44" s="235"/>
      <c r="G44" s="235"/>
      <c r="L44" s="234"/>
    </row>
    <row r="45" spans="8:14" s="149" customFormat="1" ht="24.75" customHeight="1">
      <c r="H45" s="1408" t="s">
        <v>2</v>
      </c>
      <c r="I45" s="1408"/>
      <c r="J45" s="150">
        <f>J38-J43</f>
        <v>-2000</v>
      </c>
      <c r="K45" s="150">
        <f>K38-K43</f>
        <v>-2000</v>
      </c>
      <c r="L45" s="161"/>
      <c r="M45" s="150">
        <f>M38-M43</f>
        <v>-2000</v>
      </c>
      <c r="N45" s="150">
        <f>N38-N43</f>
        <v>-2000</v>
      </c>
    </row>
    <row r="46" ht="12">
      <c r="L46" s="18"/>
    </row>
    <row r="47" spans="8:14" ht="24.75" customHeight="1">
      <c r="H47" s="1407" t="s">
        <v>466</v>
      </c>
      <c r="I47" s="1407"/>
      <c r="J47" s="148">
        <v>0</v>
      </c>
      <c r="K47" s="151"/>
      <c r="L47" s="18"/>
      <c r="M47" s="151"/>
      <c r="N47" s="151"/>
    </row>
    <row r="48" spans="8:14" ht="24.75" customHeight="1">
      <c r="H48" s="1407" t="s">
        <v>182</v>
      </c>
      <c r="I48" s="1407"/>
      <c r="J48" s="148">
        <v>0</v>
      </c>
      <c r="K48" s="151"/>
      <c r="L48" s="18"/>
      <c r="M48" s="151"/>
      <c r="N48" s="151"/>
    </row>
    <row r="49" spans="8:10" ht="24.75" customHeight="1">
      <c r="H49" s="147"/>
      <c r="I49" s="147"/>
      <c r="J49" s="146"/>
    </row>
    <row r="50" ht="24.75" customHeight="1">
      <c r="J50" s="253"/>
    </row>
    <row r="51" ht="24.75" customHeight="1">
      <c r="J51" s="253"/>
    </row>
    <row r="52" ht="24.75" customHeight="1">
      <c r="J52" s="253"/>
    </row>
    <row r="53" ht="12">
      <c r="J53" s="253"/>
    </row>
  </sheetData>
  <sheetProtection/>
  <mergeCells count="11">
    <mergeCell ref="A1:M1"/>
    <mergeCell ref="A3:M3"/>
    <mergeCell ref="H47:I47"/>
    <mergeCell ref="H48:I48"/>
    <mergeCell ref="H45:I45"/>
    <mergeCell ref="A40:B40"/>
    <mergeCell ref="A41:B41"/>
    <mergeCell ref="A42:B42"/>
    <mergeCell ref="A44:B44"/>
    <mergeCell ref="H40:I40"/>
    <mergeCell ref="H41:I41"/>
  </mergeCells>
  <printOptions horizontalCentered="1"/>
  <pageMargins left="0" right="0" top="0.5905511811023623" bottom="0.5905511811023623" header="0.5118110236220472" footer="0.5118110236220472"/>
  <pageSetup horizontalDpi="600" verticalDpi="600" orientation="landscape" paperSize="8" scale="54" r:id="rId1"/>
  <colBreaks count="1" manualBreakCount="1">
    <brk id="7" max="65535" man="1"/>
  </colBreaks>
</worksheet>
</file>

<file path=xl/worksheets/sheet5.xml><?xml version="1.0" encoding="utf-8"?>
<worksheet xmlns="http://schemas.openxmlformats.org/spreadsheetml/2006/main" xmlns:r="http://schemas.openxmlformats.org/officeDocument/2006/relationships">
  <sheetPr>
    <tabColor theme="8" tint="0.5999900102615356"/>
  </sheetPr>
  <dimension ref="B1:F16"/>
  <sheetViews>
    <sheetView showGridLines="0" zoomScale="80" zoomScaleNormal="80" zoomScaleSheetLayoutView="80" zoomScalePageLayoutView="0" workbookViewId="0" topLeftCell="A1">
      <selection activeCell="C2" sqref="C2"/>
    </sheetView>
  </sheetViews>
  <sheetFormatPr defaultColWidth="9.140625" defaultRowHeight="12.75"/>
  <cols>
    <col min="1" max="1" width="2.57421875" style="4" customWidth="1"/>
    <col min="2" max="2" width="98.57421875" style="41" customWidth="1"/>
    <col min="3" max="6" width="20.7109375" style="4" customWidth="1"/>
    <col min="7" max="7" width="10.421875" style="4" customWidth="1"/>
    <col min="8" max="16384" width="9.140625" style="4" customWidth="1"/>
  </cols>
  <sheetData>
    <row r="1" spans="2:5" ht="32.25" customHeight="1" thickBot="1">
      <c r="B1" s="1416" t="s">
        <v>322</v>
      </c>
      <c r="C1" s="1416"/>
      <c r="D1" s="1416"/>
      <c r="E1" s="1416"/>
    </row>
    <row r="2" spans="2:6" ht="34.5" customHeight="1">
      <c r="B2" s="254"/>
      <c r="C2" s="255" t="s">
        <v>213</v>
      </c>
      <c r="D2" s="256" t="s">
        <v>634</v>
      </c>
      <c r="E2" s="256" t="s">
        <v>682</v>
      </c>
      <c r="F2" s="257" t="s">
        <v>767</v>
      </c>
    </row>
    <row r="3" spans="2:6" ht="24.75" customHeight="1">
      <c r="B3" s="1417" t="s">
        <v>257</v>
      </c>
      <c r="C3" s="1418"/>
      <c r="D3" s="1418"/>
      <c r="E3" s="1418"/>
      <c r="F3" s="1419"/>
    </row>
    <row r="4" spans="2:6" s="147" customFormat="1" ht="24.75" customHeight="1">
      <c r="B4" s="186" t="s">
        <v>323</v>
      </c>
      <c r="C4" s="187">
        <f>ENTRATA!I166</f>
        <v>98408.63</v>
      </c>
      <c r="D4" s="187">
        <f>ENTRATA!K166</f>
        <v>0</v>
      </c>
      <c r="E4" s="258">
        <f>ENTRATA!N166</f>
        <v>0</v>
      </c>
      <c r="F4" s="188">
        <f>ENTRATA!Q166</f>
        <v>0</v>
      </c>
    </row>
    <row r="5" spans="2:6" s="189" customFormat="1" ht="24.75" customHeight="1">
      <c r="B5" s="190" t="s">
        <v>324</v>
      </c>
      <c r="C5" s="191">
        <f>ENTRATA!I168</f>
        <v>0</v>
      </c>
      <c r="D5" s="191">
        <f>ENTRATA!K168</f>
        <v>0</v>
      </c>
      <c r="E5" s="259">
        <f>ENTRATA!N168</f>
        <v>0</v>
      </c>
      <c r="F5" s="192">
        <f>ENTRATA!Q168</f>
        <v>0</v>
      </c>
    </row>
    <row r="6" spans="2:6" ht="24.75" customHeight="1">
      <c r="B6" s="164" t="s">
        <v>140</v>
      </c>
      <c r="C6" s="193">
        <f>ENTRATA!I17</f>
        <v>1695500.5899999999</v>
      </c>
      <c r="D6" s="193">
        <f>ENTRATA!K17</f>
        <v>1723000</v>
      </c>
      <c r="E6" s="260">
        <f>ENTRATA!N17</f>
        <v>1708000</v>
      </c>
      <c r="F6" s="194">
        <f>ENTRATA!Q17</f>
        <v>1682000</v>
      </c>
    </row>
    <row r="7" spans="2:6" ht="24.75" customHeight="1">
      <c r="B7" s="165" t="s">
        <v>141</v>
      </c>
      <c r="C7" s="193">
        <f>ENTRATA!I47</f>
        <v>544886.79</v>
      </c>
      <c r="D7" s="193">
        <f>ENTRATA!K47</f>
        <v>377220</v>
      </c>
      <c r="E7" s="260">
        <f>ENTRATA!N47</f>
        <v>353220</v>
      </c>
      <c r="F7" s="194">
        <f>ENTRATA!Q47</f>
        <v>353220</v>
      </c>
    </row>
    <row r="8" spans="2:6" ht="24.75" customHeight="1">
      <c r="B8" s="165" t="s">
        <v>142</v>
      </c>
      <c r="C8" s="195">
        <f>ENTRATA!I79</f>
        <v>326823.44</v>
      </c>
      <c r="D8" s="195">
        <f>ENTRATA!K79</f>
        <v>301050</v>
      </c>
      <c r="E8" s="261">
        <f>ENTRATA!N79</f>
        <v>301050</v>
      </c>
      <c r="F8" s="196">
        <f>ENTRATA!Q79</f>
        <v>301050</v>
      </c>
    </row>
    <row r="9" spans="2:6" s="172" customFormat="1" ht="24.75" customHeight="1" thickBot="1">
      <c r="B9" s="179" t="s">
        <v>144</v>
      </c>
      <c r="C9" s="180">
        <f>SUM(C4:C8)</f>
        <v>2665619.4499999997</v>
      </c>
      <c r="D9" s="180">
        <f>SUM(D4:D8)</f>
        <v>2401270</v>
      </c>
      <c r="E9" s="262">
        <f>SUM(E4:E8)</f>
        <v>2362270</v>
      </c>
      <c r="F9" s="181">
        <f>SUM(F4:F8)</f>
        <v>2336270</v>
      </c>
    </row>
    <row r="10" spans="2:6" ht="24.75" customHeight="1">
      <c r="B10" s="1420" t="s">
        <v>258</v>
      </c>
      <c r="C10" s="1421"/>
      <c r="D10" s="1421"/>
      <c r="E10" s="1421"/>
      <c r="F10" s="1422"/>
    </row>
    <row r="11" spans="2:6" ht="24.75" customHeight="1">
      <c r="B11" s="165" t="s">
        <v>720</v>
      </c>
      <c r="C11" s="197">
        <f>SPESA!K254+SPESA!L254</f>
        <v>2546757.4499999997</v>
      </c>
      <c r="D11" s="197">
        <f>SPESA!M254+SPESA!N254</f>
        <v>2265960</v>
      </c>
      <c r="E11" s="265">
        <f>SPESA!P254+SPESA!Q254</f>
        <v>2194660</v>
      </c>
      <c r="F11" s="266">
        <f>SPESA!S254+SPESA!T254</f>
        <v>2187975</v>
      </c>
    </row>
    <row r="12" spans="2:6" ht="24.75" customHeight="1">
      <c r="B12" s="165" t="s">
        <v>230</v>
      </c>
      <c r="C12" s="195">
        <f>SPESA!K390</f>
        <v>116862</v>
      </c>
      <c r="D12" s="195">
        <f>SPESA!M390</f>
        <v>133310</v>
      </c>
      <c r="E12" s="261">
        <f>SPESA!P390</f>
        <v>165610</v>
      </c>
      <c r="F12" s="196">
        <f>SPESA!S390</f>
        <v>146295</v>
      </c>
    </row>
    <row r="13" spans="2:6" s="185" customFormat="1" ht="24.75" customHeight="1">
      <c r="B13" s="182" t="s">
        <v>145</v>
      </c>
      <c r="C13" s="183">
        <f>SUM(C11:C12)</f>
        <v>2663619.4499999997</v>
      </c>
      <c r="D13" s="183">
        <f>SUM(D11:D12)</f>
        <v>2399270</v>
      </c>
      <c r="E13" s="263">
        <f>SUM(E11:E12)</f>
        <v>2360270</v>
      </c>
      <c r="F13" s="184">
        <f>SUM(F11:F12)</f>
        <v>2334270</v>
      </c>
    </row>
    <row r="14" spans="2:6" s="172" customFormat="1" ht="24.75" customHeight="1" thickBot="1">
      <c r="B14" s="173" t="s">
        <v>146</v>
      </c>
      <c r="C14" s="174">
        <f>C9-C13</f>
        <v>2000</v>
      </c>
      <c r="D14" s="174">
        <f>D9-D13</f>
        <v>2000</v>
      </c>
      <c r="E14" s="264">
        <f>E9-E13</f>
        <v>2000</v>
      </c>
      <c r="F14" s="175">
        <f>F9-F13</f>
        <v>2000</v>
      </c>
    </row>
    <row r="15" ht="24.75" customHeight="1"/>
    <row r="16" ht="24.75" customHeight="1">
      <c r="C16" s="227"/>
    </row>
    <row r="17" ht="24.75" customHeight="1"/>
    <row r="18" ht="24.75" customHeight="1"/>
    <row r="19" ht="34.5" customHeight="1"/>
    <row r="20" ht="34.5" customHeight="1"/>
    <row r="21" ht="34.5" customHeight="1"/>
    <row r="22" ht="34.5" customHeight="1"/>
  </sheetData>
  <sheetProtection/>
  <mergeCells count="3">
    <mergeCell ref="B1:E1"/>
    <mergeCell ref="B3:F3"/>
    <mergeCell ref="B10:F10"/>
  </mergeCells>
  <printOptions horizontalCentered="1" verticalCentered="1"/>
  <pageMargins left="0" right="0" top="0.984251968503937" bottom="0.984251968503937" header="0.5118110236220472" footer="0.5118110236220472"/>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sheetPr>
    <tabColor theme="6" tint="0.39998000860214233"/>
  </sheetPr>
  <dimension ref="A1:E12"/>
  <sheetViews>
    <sheetView showGridLines="0" zoomScale="90" zoomScaleNormal="90" zoomScaleSheetLayoutView="70" zoomScalePageLayoutView="0" workbookViewId="0" topLeftCell="A1">
      <selection activeCell="B2" sqref="B2"/>
    </sheetView>
  </sheetViews>
  <sheetFormatPr defaultColWidth="9.140625" defaultRowHeight="12.75"/>
  <cols>
    <col min="1" max="1" width="101.8515625" style="41" customWidth="1"/>
    <col min="2" max="5" width="20.7109375" style="4" customWidth="1"/>
    <col min="6" max="6" width="10.421875" style="4" customWidth="1"/>
    <col min="7" max="16384" width="9.140625" style="4" customWidth="1"/>
  </cols>
  <sheetData>
    <row r="1" spans="1:4" ht="32.25" customHeight="1" thickBot="1">
      <c r="A1" s="1416" t="s">
        <v>328</v>
      </c>
      <c r="B1" s="1416"/>
      <c r="C1" s="1416"/>
      <c r="D1" s="1416"/>
    </row>
    <row r="2" spans="1:5" ht="34.5" customHeight="1">
      <c r="A2" s="168"/>
      <c r="B2" s="255" t="s">
        <v>213</v>
      </c>
      <c r="C2" s="256" t="s">
        <v>634</v>
      </c>
      <c r="D2" s="257" t="s">
        <v>682</v>
      </c>
      <c r="E2" s="257" t="s">
        <v>767</v>
      </c>
    </row>
    <row r="3" spans="1:5" ht="24.75" customHeight="1">
      <c r="A3" s="1417" t="s">
        <v>257</v>
      </c>
      <c r="B3" s="1418"/>
      <c r="C3" s="1418"/>
      <c r="D3" s="1418"/>
      <c r="E3" s="1418"/>
    </row>
    <row r="4" spans="1:5" s="147" customFormat="1" ht="24.75" customHeight="1">
      <c r="A4" s="186" t="s">
        <v>325</v>
      </c>
      <c r="B4" s="187">
        <f>ENTRATA!I167</f>
        <v>919050.93</v>
      </c>
      <c r="C4" s="198">
        <f>ENTRATA!K167</f>
        <v>0</v>
      </c>
      <c r="D4" s="199">
        <f>ENTRATA!N167</f>
        <v>0</v>
      </c>
      <c r="E4" s="199">
        <f>ENTRATA!Q167</f>
        <v>0</v>
      </c>
    </row>
    <row r="5" spans="1:5" s="189" customFormat="1" ht="24.75" customHeight="1">
      <c r="A5" s="190" t="s">
        <v>326</v>
      </c>
      <c r="B5" s="200">
        <f>ENTRATA!I169</f>
        <v>102336</v>
      </c>
      <c r="C5" s="200">
        <f>ENTRATA!K169</f>
        <v>0</v>
      </c>
      <c r="D5" s="201">
        <f>ENTRATA!N169</f>
        <v>0</v>
      </c>
      <c r="E5" s="201">
        <f>ENTRATA!Q169</f>
        <v>0</v>
      </c>
    </row>
    <row r="6" spans="1:5" ht="24.75" customHeight="1">
      <c r="A6" s="165" t="s">
        <v>327</v>
      </c>
      <c r="B6" s="202">
        <f>ENTRATA!I128</f>
        <v>4165005</v>
      </c>
      <c r="C6" s="203">
        <f>ENTRATA!K128</f>
        <v>844500</v>
      </c>
      <c r="D6" s="204">
        <f>ENTRATA!N128</f>
        <v>1195000</v>
      </c>
      <c r="E6" s="204">
        <f>ENTRATA!Q128</f>
        <v>250000</v>
      </c>
    </row>
    <row r="7" spans="1:5" ht="24.75" customHeight="1">
      <c r="A7" s="177" t="s">
        <v>227</v>
      </c>
      <c r="B7" s="205">
        <f>ENTRATA!I142</f>
        <v>200000</v>
      </c>
      <c r="C7" s="205">
        <f>ENTRATA!K142</f>
        <v>0</v>
      </c>
      <c r="D7" s="206">
        <f>ENTRATA!N142</f>
        <v>0</v>
      </c>
      <c r="E7" s="206">
        <f>ENTRATA!Q142</f>
        <v>0</v>
      </c>
    </row>
    <row r="8" spans="1:5" s="172" customFormat="1" ht="24.75" customHeight="1" thickBot="1">
      <c r="A8" s="179" t="s">
        <v>144</v>
      </c>
      <c r="B8" s="181">
        <f>SUM(B4:B7)</f>
        <v>5386391.93</v>
      </c>
      <c r="C8" s="181">
        <f>SUM(C4:C7)</f>
        <v>844500</v>
      </c>
      <c r="D8" s="181">
        <f>SUM(D4:D7)</f>
        <v>1195000</v>
      </c>
      <c r="E8" s="181">
        <f>SUM(E4:E7)</f>
        <v>250000</v>
      </c>
    </row>
    <row r="9" spans="1:5" ht="24.75" customHeight="1">
      <c r="A9" s="1420" t="s">
        <v>258</v>
      </c>
      <c r="B9" s="1421"/>
      <c r="C9" s="1421"/>
      <c r="D9" s="1421"/>
      <c r="E9" s="1421"/>
    </row>
    <row r="10" spans="1:5" ht="24.75" customHeight="1">
      <c r="A10" s="165" t="s">
        <v>683</v>
      </c>
      <c r="B10" s="207">
        <f>SPESA!K374+SPESA!L374</f>
        <v>5388391.93</v>
      </c>
      <c r="C10" s="207">
        <f>SPESA!M374+SPESA!N374</f>
        <v>846500</v>
      </c>
      <c r="D10" s="208">
        <f>SPESA!P374+SPESA!Q374</f>
        <v>1197000</v>
      </c>
      <c r="E10" s="208">
        <f>SPESA!S374+SPESA!T374</f>
        <v>252000</v>
      </c>
    </row>
    <row r="11" spans="1:5" s="185" customFormat="1" ht="24.75" customHeight="1">
      <c r="A11" s="182" t="s">
        <v>145</v>
      </c>
      <c r="B11" s="183">
        <f>SUM(B10)</f>
        <v>5388391.93</v>
      </c>
      <c r="C11" s="183">
        <f>SUM(C10)</f>
        <v>846500</v>
      </c>
      <c r="D11" s="184">
        <f>SUM(D10)</f>
        <v>1197000</v>
      </c>
      <c r="E11" s="184">
        <f>SUM(E10)</f>
        <v>252000</v>
      </c>
    </row>
    <row r="12" spans="1:5" s="172" customFormat="1" ht="24.75" customHeight="1" thickBot="1">
      <c r="A12" s="173" t="s">
        <v>146</v>
      </c>
      <c r="B12" s="174">
        <f>B8-B11</f>
        <v>-2000</v>
      </c>
      <c r="C12" s="174">
        <f>C8-C11</f>
        <v>-2000</v>
      </c>
      <c r="D12" s="175">
        <f>D8-D11</f>
        <v>-2000</v>
      </c>
      <c r="E12" s="175">
        <f>E8-E11</f>
        <v>-2000</v>
      </c>
    </row>
    <row r="13" ht="24.75" customHeight="1"/>
    <row r="14" ht="24.75" customHeight="1"/>
    <row r="15" ht="24.75" customHeight="1"/>
    <row r="16" ht="24.75" customHeight="1"/>
    <row r="17" ht="34.5" customHeight="1"/>
    <row r="18" ht="34.5" customHeight="1"/>
    <row r="19" ht="34.5" customHeight="1"/>
    <row r="20" ht="34.5" customHeight="1"/>
  </sheetData>
  <sheetProtection/>
  <mergeCells count="3">
    <mergeCell ref="A1:D1"/>
    <mergeCell ref="A3:E3"/>
    <mergeCell ref="A9:E9"/>
  </mergeCells>
  <printOptions horizontalCentered="1" verticalCentered="1"/>
  <pageMargins left="0" right="0" top="0.984251968503937" bottom="0.984251968503937" header="0.5118110236220472" footer="0.5118110236220472"/>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tabColor rgb="FFFFFF66"/>
  </sheetPr>
  <dimension ref="A1:E30"/>
  <sheetViews>
    <sheetView showGridLines="0" zoomScaleSheetLayoutView="80" zoomScalePageLayoutView="0" workbookViewId="0" topLeftCell="A1">
      <selection activeCell="B2" sqref="B2"/>
    </sheetView>
  </sheetViews>
  <sheetFormatPr defaultColWidth="9.140625" defaultRowHeight="12.75"/>
  <cols>
    <col min="1" max="1" width="101.8515625" style="41" customWidth="1"/>
    <col min="2" max="2" width="19.57421875" style="4" customWidth="1"/>
    <col min="3" max="3" width="19.421875" style="4" customWidth="1"/>
    <col min="4" max="5" width="19.00390625" style="4" customWidth="1"/>
    <col min="6" max="6" width="10.421875" style="4" customWidth="1"/>
    <col min="7" max="16384" width="9.140625" style="4" customWidth="1"/>
  </cols>
  <sheetData>
    <row r="1" spans="1:4" ht="32.25" customHeight="1" thickBot="1">
      <c r="A1" s="1416" t="s">
        <v>329</v>
      </c>
      <c r="B1" s="1416"/>
      <c r="C1" s="1416"/>
      <c r="D1" s="1416"/>
    </row>
    <row r="2" spans="1:5" ht="34.5" customHeight="1" thickBot="1">
      <c r="A2" s="168"/>
      <c r="B2" s="169" t="s">
        <v>213</v>
      </c>
      <c r="C2" s="170" t="s">
        <v>634</v>
      </c>
      <c r="D2" s="170" t="s">
        <v>682</v>
      </c>
      <c r="E2" s="171" t="s">
        <v>767</v>
      </c>
    </row>
    <row r="3" spans="1:5" ht="24.75" customHeight="1">
      <c r="A3" s="1420" t="s">
        <v>257</v>
      </c>
      <c r="B3" s="1421"/>
      <c r="C3" s="1421"/>
      <c r="D3" s="1421"/>
      <c r="E3" s="276"/>
    </row>
    <row r="4" spans="1:5" s="147" customFormat="1" ht="24.75" customHeight="1">
      <c r="A4" s="186" t="s">
        <v>323</v>
      </c>
      <c r="B4" s="209">
        <f>'PAREGGIO PARTE CORRENTE'!C4</f>
        <v>98408.63</v>
      </c>
      <c r="C4" s="209">
        <f>'PAREGGIO PARTE CORRENTE'!D4</f>
        <v>0</v>
      </c>
      <c r="D4" s="267">
        <f>'PAREGGIO PARTE CORRENTE'!E4</f>
        <v>0</v>
      </c>
      <c r="E4" s="241">
        <f>'PAREGGIO PARTE CORRENTE'!F4</f>
        <v>0</v>
      </c>
    </row>
    <row r="5" spans="1:5" s="147" customFormat="1" ht="24.75" customHeight="1">
      <c r="A5" s="186" t="s">
        <v>325</v>
      </c>
      <c r="B5" s="209">
        <f>'PAREGGIO PARTE CAPITALE'!B4</f>
        <v>919050.93</v>
      </c>
      <c r="C5" s="209">
        <f>'PAREGGIO PARTE CAPITALE'!C4</f>
        <v>0</v>
      </c>
      <c r="D5" s="267">
        <f>'PAREGGIO PARTE CAPITALE'!D4</f>
        <v>0</v>
      </c>
      <c r="E5" s="241">
        <f>'PAREGGIO PARTE CAPITALE'!E4</f>
        <v>0</v>
      </c>
    </row>
    <row r="6" spans="1:5" s="210" customFormat="1" ht="24.75" customHeight="1">
      <c r="A6" s="211" t="s">
        <v>330</v>
      </c>
      <c r="B6" s="278"/>
      <c r="C6" s="279"/>
      <c r="D6" s="280"/>
      <c r="E6" s="281"/>
    </row>
    <row r="7" spans="1:5" s="189" customFormat="1" ht="24.75" customHeight="1">
      <c r="A7" s="190" t="s">
        <v>331</v>
      </c>
      <c r="B7" s="200">
        <f>B8+B9</f>
        <v>102336</v>
      </c>
      <c r="C7" s="200">
        <f>C8+C9</f>
        <v>0</v>
      </c>
      <c r="D7" s="268">
        <f>D8+D9</f>
        <v>0</v>
      </c>
      <c r="E7" s="277">
        <f>E8+E9</f>
        <v>0</v>
      </c>
    </row>
    <row r="8" spans="1:5" s="210" customFormat="1" ht="24.75" customHeight="1">
      <c r="A8" s="212" t="s">
        <v>332</v>
      </c>
      <c r="B8" s="213">
        <f>'PAREGGIO PARTE CORRENTE'!C5</f>
        <v>0</v>
      </c>
      <c r="C8" s="213">
        <f>'PAREGGIO PARTE CORRENTE'!D5</f>
        <v>0</v>
      </c>
      <c r="D8" s="269">
        <f>'PAREGGIO PARTE CORRENTE'!E5</f>
        <v>0</v>
      </c>
      <c r="E8" s="242">
        <f>'PAREGGIO PARTE CORRENTE'!F5</f>
        <v>0</v>
      </c>
    </row>
    <row r="9" spans="1:5" s="210" customFormat="1" ht="24.75" customHeight="1">
      <c r="A9" s="212" t="s">
        <v>333</v>
      </c>
      <c r="B9" s="213">
        <f>'PAREGGIO PARTE CAPITALE'!B5</f>
        <v>102336</v>
      </c>
      <c r="C9" s="213">
        <f>'PAREGGIO PARTE CAPITALE'!C5</f>
        <v>0</v>
      </c>
      <c r="D9" s="269">
        <f>'PAREGGIO PARTE CAPITALE'!D5</f>
        <v>0</v>
      </c>
      <c r="E9" s="242">
        <f>'PAREGGIO PARTE CAPITALE'!E5</f>
        <v>0</v>
      </c>
    </row>
    <row r="10" spans="1:5" ht="24.75" customHeight="1">
      <c r="A10" s="164" t="s">
        <v>140</v>
      </c>
      <c r="B10" s="214">
        <f>'PAREGGIO PARTE CORRENTE'!C6</f>
        <v>1695500.5899999999</v>
      </c>
      <c r="C10" s="214">
        <f>'PAREGGIO PARTE CORRENTE'!D6</f>
        <v>1723000</v>
      </c>
      <c r="D10" s="270">
        <f>'PAREGGIO PARTE CORRENTE'!E6</f>
        <v>1708000</v>
      </c>
      <c r="E10" s="243">
        <f>'PAREGGIO PARTE CORRENTE'!F6</f>
        <v>1682000</v>
      </c>
    </row>
    <row r="11" spans="1:5" ht="24.75" customHeight="1">
      <c r="A11" s="165" t="s">
        <v>141</v>
      </c>
      <c r="B11" s="214">
        <f>'PAREGGIO PARTE CORRENTE'!C7</f>
        <v>544886.79</v>
      </c>
      <c r="C11" s="214">
        <f>'PAREGGIO PARTE CORRENTE'!D7</f>
        <v>377220</v>
      </c>
      <c r="D11" s="270">
        <f>'PAREGGIO PARTE CORRENTE'!E7</f>
        <v>353220</v>
      </c>
      <c r="E11" s="243">
        <f>'PAREGGIO PARTE CORRENTE'!F7</f>
        <v>353220</v>
      </c>
    </row>
    <row r="12" spans="1:5" ht="24.75" customHeight="1">
      <c r="A12" s="165" t="s">
        <v>142</v>
      </c>
      <c r="B12" s="215">
        <f>'PAREGGIO PARTE CORRENTE'!C8</f>
        <v>326823.44</v>
      </c>
      <c r="C12" s="215">
        <f>'PAREGGIO PARTE CORRENTE'!D8</f>
        <v>301050</v>
      </c>
      <c r="D12" s="271">
        <f>'PAREGGIO PARTE CORRENTE'!E8</f>
        <v>301050</v>
      </c>
      <c r="E12" s="244">
        <f>'PAREGGIO PARTE CORRENTE'!F8</f>
        <v>301050</v>
      </c>
    </row>
    <row r="13" spans="1:5" ht="24.75" customHeight="1">
      <c r="A13" s="165" t="s">
        <v>327</v>
      </c>
      <c r="B13" s="216">
        <f>'PAREGGIO PARTE CAPITALE'!B6</f>
        <v>4165005</v>
      </c>
      <c r="C13" s="216">
        <f>'PAREGGIO PARTE CAPITALE'!C6</f>
        <v>844500</v>
      </c>
      <c r="D13" s="272">
        <f>'PAREGGIO PARTE CAPITALE'!D6</f>
        <v>1195000</v>
      </c>
      <c r="E13" s="245">
        <f>'PAREGGIO PARTE CAPITALE'!E6</f>
        <v>250000</v>
      </c>
    </row>
    <row r="14" spans="1:5" ht="24.75" customHeight="1">
      <c r="A14" s="165" t="s">
        <v>143</v>
      </c>
      <c r="B14" s="222">
        <f>ENTRATA!I133</f>
        <v>0</v>
      </c>
      <c r="C14" s="223">
        <f>ENTRATA!K133</f>
        <v>200000</v>
      </c>
      <c r="D14" s="273">
        <f>ENTRATA!Q133</f>
        <v>0</v>
      </c>
      <c r="E14" s="224">
        <f>ENTRATA!R133</f>
        <v>0</v>
      </c>
    </row>
    <row r="15" spans="1:5" ht="24.75" customHeight="1">
      <c r="A15" s="177" t="s">
        <v>227</v>
      </c>
      <c r="B15" s="217">
        <f>'PAREGGIO PARTE CAPITALE'!B7</f>
        <v>200000</v>
      </c>
      <c r="C15" s="217">
        <f>'PAREGGIO PARTE CAPITALE'!C7</f>
        <v>0</v>
      </c>
      <c r="D15" s="274">
        <f>'PAREGGIO PARTE CAPITALE'!D7</f>
        <v>0</v>
      </c>
      <c r="E15" s="246">
        <f>'PAREGGIO PARTE CAPITALE'!E7</f>
        <v>0</v>
      </c>
    </row>
    <row r="16" spans="1:5" ht="24.75" customHeight="1">
      <c r="A16" s="177" t="s">
        <v>228</v>
      </c>
      <c r="B16" s="222">
        <f>ENTRATA!I147</f>
        <v>900000</v>
      </c>
      <c r="C16" s="223">
        <f>ENTRATA!K147</f>
        <v>900000</v>
      </c>
      <c r="D16" s="273">
        <f>ENTRATA!N147</f>
        <v>900000</v>
      </c>
      <c r="E16" s="224">
        <f>ENTRATA!Q147</f>
        <v>900000</v>
      </c>
    </row>
    <row r="17" spans="1:5" ht="24.75" customHeight="1">
      <c r="A17" s="177" t="s">
        <v>229</v>
      </c>
      <c r="B17" s="222">
        <f>ENTRATA!I163</f>
        <v>815200</v>
      </c>
      <c r="C17" s="223">
        <f>ENTRATA!K163</f>
        <v>815200</v>
      </c>
      <c r="D17" s="273">
        <f>ENTRATA!N163</f>
        <v>815200</v>
      </c>
      <c r="E17" s="224">
        <f>ENTRATA!Q163</f>
        <v>815200</v>
      </c>
    </row>
    <row r="18" spans="1:5" s="172" customFormat="1" ht="24.75" customHeight="1" thickBot="1">
      <c r="A18" s="179" t="s">
        <v>144</v>
      </c>
      <c r="B18" s="181">
        <f>SUM(B4:B17)-B6-B8-B9</f>
        <v>9767211.379999999</v>
      </c>
      <c r="C18" s="181">
        <f>SUM(C4:C17)-C6-C8-C9</f>
        <v>5160970</v>
      </c>
      <c r="D18" s="181">
        <f>SUM(D4:D17)-D6-D8-D9</f>
        <v>5272470</v>
      </c>
      <c r="E18" s="181">
        <f>SUM(E4:E17)-E6-E8-E9</f>
        <v>4301470</v>
      </c>
    </row>
    <row r="19" spans="1:5" ht="24.75" customHeight="1">
      <c r="A19" s="1420" t="s">
        <v>258</v>
      </c>
      <c r="B19" s="1421"/>
      <c r="C19" s="1421"/>
      <c r="D19" s="1421"/>
      <c r="E19" s="286"/>
    </row>
    <row r="20" spans="1:5" ht="24.75" customHeight="1">
      <c r="A20" s="165" t="s">
        <v>215</v>
      </c>
      <c r="B20" s="167">
        <f>'PAREGGIO PARTE CORRENTE'!C11</f>
        <v>2546757.4499999997</v>
      </c>
      <c r="C20" s="167">
        <f>'PAREGGIO PARTE CORRENTE'!D11</f>
        <v>2265960</v>
      </c>
      <c r="D20" s="282">
        <f>'PAREGGIO PARTE CORRENTE'!E11</f>
        <v>2194660</v>
      </c>
      <c r="E20" s="275">
        <f>'PAREGGIO PARTE CORRENTE'!F11</f>
        <v>2187975</v>
      </c>
    </row>
    <row r="21" spans="1:5" s="178" customFormat="1" ht="24.75" customHeight="1">
      <c r="A21" s="218" t="s">
        <v>334</v>
      </c>
      <c r="B21" s="219">
        <f>SPESA!K247</f>
        <v>70692</v>
      </c>
      <c r="C21" s="220">
        <f>SPESA!M247</f>
        <v>58903</v>
      </c>
      <c r="D21" s="283">
        <f>SPESA!P247</f>
        <v>48567</v>
      </c>
      <c r="E21" s="221">
        <f>SPESA!S247</f>
        <v>36408</v>
      </c>
    </row>
    <row r="22" spans="1:5" s="178" customFormat="1" ht="24.75" customHeight="1">
      <c r="A22" s="218" t="s">
        <v>335</v>
      </c>
      <c r="B22" s="219">
        <f>SPESA!K249</f>
        <v>2119</v>
      </c>
      <c r="C22" s="220">
        <f>SPESA!M249</f>
        <v>2119</v>
      </c>
      <c r="D22" s="283">
        <f>SPESA!P249</f>
        <v>2119</v>
      </c>
      <c r="E22" s="221">
        <f>SPESA!S249</f>
        <v>2119</v>
      </c>
    </row>
    <row r="23" spans="1:5" ht="24.75" customHeight="1">
      <c r="A23" s="165" t="s">
        <v>716</v>
      </c>
      <c r="B23" s="166">
        <f>'PAREGGIO PARTE CAPITALE'!B10</f>
        <v>5388391.93</v>
      </c>
      <c r="C23" s="166">
        <f>'PAREGGIO PARTE CAPITALE'!C10</f>
        <v>846500</v>
      </c>
      <c r="D23" s="284">
        <f>'PAREGGIO PARTE CAPITALE'!D10</f>
        <v>1197000</v>
      </c>
      <c r="E23" s="176">
        <f>'PAREGGIO PARTE CAPITALE'!E10</f>
        <v>252000</v>
      </c>
    </row>
    <row r="24" spans="1:5" s="178" customFormat="1" ht="24.75" customHeight="1">
      <c r="A24" s="218" t="s">
        <v>425</v>
      </c>
      <c r="B24" s="225"/>
      <c r="C24" s="225"/>
      <c r="D24" s="285"/>
      <c r="E24" s="226"/>
    </row>
    <row r="25" spans="1:5" ht="24.75" customHeight="1">
      <c r="A25" s="165" t="s">
        <v>336</v>
      </c>
      <c r="B25" s="166">
        <f>B14</f>
        <v>0</v>
      </c>
      <c r="C25" s="166">
        <f>C14</f>
        <v>200000</v>
      </c>
      <c r="D25" s="284">
        <f>D14</f>
        <v>0</v>
      </c>
      <c r="E25" s="176">
        <f>E14</f>
        <v>0</v>
      </c>
    </row>
    <row r="26" spans="1:5" ht="24.75" customHeight="1">
      <c r="A26" s="165" t="s">
        <v>230</v>
      </c>
      <c r="B26" s="215">
        <f>'PAREGGIO PARTE CORRENTE'!C12</f>
        <v>116862</v>
      </c>
      <c r="C26" s="215">
        <f>'PAREGGIO PARTE CORRENTE'!D12</f>
        <v>133310</v>
      </c>
      <c r="D26" s="271">
        <f>'PAREGGIO PARTE CORRENTE'!E12</f>
        <v>165610</v>
      </c>
      <c r="E26" s="244">
        <f>'PAREGGIO PARTE CORRENTE'!F12</f>
        <v>146295</v>
      </c>
    </row>
    <row r="27" spans="1:5" ht="24.75" customHeight="1">
      <c r="A27" s="165" t="s">
        <v>231</v>
      </c>
      <c r="B27" s="166">
        <f aca="true" t="shared" si="0" ref="B27:D28">B16</f>
        <v>900000</v>
      </c>
      <c r="C27" s="166">
        <f t="shared" si="0"/>
        <v>900000</v>
      </c>
      <c r="D27" s="284">
        <f t="shared" si="0"/>
        <v>900000</v>
      </c>
      <c r="E27" s="176">
        <f>E16</f>
        <v>900000</v>
      </c>
    </row>
    <row r="28" spans="1:5" ht="24.75" customHeight="1">
      <c r="A28" s="165" t="s">
        <v>232</v>
      </c>
      <c r="B28" s="166">
        <f t="shared" si="0"/>
        <v>815200</v>
      </c>
      <c r="C28" s="166">
        <f t="shared" si="0"/>
        <v>815200</v>
      </c>
      <c r="D28" s="284">
        <f t="shared" si="0"/>
        <v>815200</v>
      </c>
      <c r="E28" s="176">
        <f>E17</f>
        <v>815200</v>
      </c>
    </row>
    <row r="29" spans="1:5" s="185" customFormat="1" ht="24.75" customHeight="1">
      <c r="A29" s="182" t="s">
        <v>145</v>
      </c>
      <c r="B29" s="183">
        <f>SUM(B20+B23+B25+B26+B27+B28)</f>
        <v>9767211.379999999</v>
      </c>
      <c r="C29" s="183">
        <f>SUM(C20+C23+C25+C26+C27+C28)</f>
        <v>5160970</v>
      </c>
      <c r="D29" s="263">
        <f>SUM(D20+D23+D25+D26+D27+D28)</f>
        <v>5272470</v>
      </c>
      <c r="E29" s="184">
        <f>SUM(E20+E23+E25+E26+E27+E28)</f>
        <v>4301470</v>
      </c>
    </row>
    <row r="30" spans="1:5" s="172" customFormat="1" ht="24.75" customHeight="1" thickBot="1">
      <c r="A30" s="173" t="s">
        <v>146</v>
      </c>
      <c r="B30" s="174">
        <f>B18-B29</f>
        <v>0</v>
      </c>
      <c r="C30" s="174">
        <f>C18-C29</f>
        <v>0</v>
      </c>
      <c r="D30" s="264">
        <f>D18-D29</f>
        <v>0</v>
      </c>
      <c r="E30" s="175">
        <f>E18-E29</f>
        <v>0</v>
      </c>
    </row>
    <row r="31" ht="24.75" customHeight="1"/>
    <row r="32" ht="24.75" customHeight="1"/>
    <row r="33" ht="24.75" customHeight="1"/>
    <row r="34" ht="24.75" customHeight="1"/>
    <row r="35" ht="34.5" customHeight="1"/>
    <row r="36" ht="34.5" customHeight="1"/>
    <row r="37" ht="34.5" customHeight="1"/>
    <row r="38" ht="34.5" customHeight="1"/>
  </sheetData>
  <sheetProtection/>
  <mergeCells count="3">
    <mergeCell ref="A1:D1"/>
    <mergeCell ref="A3:D3"/>
    <mergeCell ref="A19:D19"/>
  </mergeCells>
  <printOptions horizontalCentered="1" verticalCentered="1"/>
  <pageMargins left="0" right="0" top="0.1968503937007874" bottom="0.1968503937007874" header="0.5118110236220472" footer="0.5118110236220472"/>
  <pageSetup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sheetPr>
    <tabColor rgb="FF0070C0"/>
  </sheetPr>
  <dimension ref="A1:H100"/>
  <sheetViews>
    <sheetView showGridLines="0" zoomScale="80" zoomScaleNormal="80" zoomScaleSheetLayoutView="80" zoomScalePageLayoutView="0" workbookViewId="0" topLeftCell="A1">
      <selection activeCell="D11" sqref="D11"/>
    </sheetView>
  </sheetViews>
  <sheetFormatPr defaultColWidth="9.140625" defaultRowHeight="12.75"/>
  <cols>
    <col min="1" max="1" width="107.421875" style="41" customWidth="1"/>
    <col min="2" max="2" width="7.140625" style="42" customWidth="1"/>
    <col min="3" max="3" width="20.7109375" style="42" customWidth="1"/>
    <col min="4" max="6" width="20.7109375" style="40" customWidth="1"/>
    <col min="7" max="7" width="9.140625" style="40" customWidth="1"/>
    <col min="8" max="8" width="10.421875" style="4" customWidth="1"/>
    <col min="9" max="16384" width="9.140625" style="40" customWidth="1"/>
  </cols>
  <sheetData>
    <row r="1" spans="1:5" s="4" customFormat="1" ht="21">
      <c r="A1" s="1426" t="s">
        <v>379</v>
      </c>
      <c r="B1" s="1427"/>
      <c r="C1" s="1427"/>
      <c r="D1" s="1427"/>
      <c r="E1" s="1427"/>
    </row>
    <row r="2" spans="1:5" s="4" customFormat="1" ht="21">
      <c r="A2" s="1426" t="s">
        <v>715</v>
      </c>
      <c r="B2" s="1427"/>
      <c r="C2" s="1427"/>
      <c r="D2" s="1427"/>
      <c r="E2" s="1427"/>
    </row>
    <row r="3" ht="13.5" thickBot="1"/>
    <row r="4" spans="1:6" ht="73.5" customHeight="1">
      <c r="A4" s="1428" t="s">
        <v>380</v>
      </c>
      <c r="B4" s="1429"/>
      <c r="C4" s="71"/>
      <c r="D4" s="20" t="s">
        <v>634</v>
      </c>
      <c r="E4" s="129" t="s">
        <v>682</v>
      </c>
      <c r="F4" s="21" t="s">
        <v>767</v>
      </c>
    </row>
    <row r="5" spans="1:6" ht="23.25" customHeight="1">
      <c r="A5" s="72" t="s">
        <v>381</v>
      </c>
      <c r="B5" s="53"/>
      <c r="C5" s="54">
        <f>CASSA!B3</f>
        <v>1857679.17</v>
      </c>
      <c r="D5" s="105"/>
      <c r="E5" s="130"/>
      <c r="F5" s="155"/>
    </row>
    <row r="6" spans="1:6" ht="12.75">
      <c r="A6" s="73"/>
      <c r="B6" s="6"/>
      <c r="C6" s="45"/>
      <c r="D6" s="43"/>
      <c r="E6" s="131"/>
      <c r="F6" s="140"/>
    </row>
    <row r="7" spans="1:6" ht="19.5" customHeight="1">
      <c r="A7" s="74" t="s">
        <v>382</v>
      </c>
      <c r="B7" s="44" t="s">
        <v>383</v>
      </c>
      <c r="C7" s="55"/>
      <c r="D7" s="297">
        <f>ENTRATA!K166</f>
        <v>0</v>
      </c>
      <c r="E7" s="298">
        <f>ENTRATA!N166</f>
        <v>0</v>
      </c>
      <c r="F7" s="299">
        <f>ENTRATA!Q166</f>
        <v>0</v>
      </c>
    </row>
    <row r="8" spans="1:6" ht="12.75">
      <c r="A8" s="33"/>
      <c r="B8" s="46"/>
      <c r="C8" s="18"/>
      <c r="D8" s="301"/>
      <c r="E8" s="301"/>
      <c r="F8" s="302"/>
    </row>
    <row r="9" spans="1:6" ht="19.5" customHeight="1">
      <c r="A9" s="75" t="s">
        <v>384</v>
      </c>
      <c r="B9" s="44" t="s">
        <v>385</v>
      </c>
      <c r="C9" s="55"/>
      <c r="D9" s="297">
        <f>'QUADRO RIASSUNTIVO'!K9</f>
        <v>0</v>
      </c>
      <c r="E9" s="298">
        <f>'QUADRO RIASSUNTIVO'!M9</f>
        <v>0</v>
      </c>
      <c r="F9" s="303"/>
    </row>
    <row r="10" spans="1:6" ht="12.75">
      <c r="A10" s="33"/>
      <c r="B10" s="46"/>
      <c r="C10" s="18"/>
      <c r="D10" s="300"/>
      <c r="E10" s="301"/>
      <c r="F10" s="302"/>
    </row>
    <row r="11" spans="1:6" ht="19.5" customHeight="1">
      <c r="A11" s="74" t="s">
        <v>386</v>
      </c>
      <c r="B11" s="44" t="s">
        <v>383</v>
      </c>
      <c r="C11" s="55"/>
      <c r="D11" s="297">
        <f>'QUADRO RIASSUNTIVO'!D13+'QUADRO RIASSUNTIVO'!D15+'QUADRO RIASSUNTIVO'!D17</f>
        <v>2401270</v>
      </c>
      <c r="E11" s="298">
        <f>'QUADRO RIASSUNTIVO'!F13+'QUADRO RIASSUNTIVO'!F15+'QUADRO RIASSUNTIVO'!F17</f>
        <v>2362270</v>
      </c>
      <c r="F11" s="299">
        <f>'QUADRO RIASSUNTIVO'!G13+'QUADRO RIASSUNTIVO'!G15+'QUADRO RIASSUNTIVO'!G17</f>
        <v>2336270</v>
      </c>
    </row>
    <row r="12" spans="1:6" s="4" customFormat="1" ht="19.5" customHeight="1">
      <c r="A12" s="76" t="s">
        <v>387</v>
      </c>
      <c r="B12" s="56"/>
      <c r="C12" s="57"/>
      <c r="D12" s="304">
        <v>0</v>
      </c>
      <c r="E12" s="305">
        <v>0</v>
      </c>
      <c r="F12" s="306">
        <v>0</v>
      </c>
    </row>
    <row r="13" spans="1:6" ht="12.75">
      <c r="A13" s="33"/>
      <c r="B13" s="46"/>
      <c r="C13" s="18"/>
      <c r="D13" s="300"/>
      <c r="E13" s="301"/>
      <c r="F13" s="302"/>
    </row>
    <row r="14" spans="1:6" ht="25.5">
      <c r="A14" s="75" t="s">
        <v>388</v>
      </c>
      <c r="B14" s="44" t="s">
        <v>383</v>
      </c>
      <c r="C14" s="55"/>
      <c r="D14" s="297">
        <v>0</v>
      </c>
      <c r="E14" s="298">
        <v>0</v>
      </c>
      <c r="F14" s="307">
        <v>0</v>
      </c>
    </row>
    <row r="15" spans="1:6" ht="12.75">
      <c r="A15" s="33"/>
      <c r="B15" s="46"/>
      <c r="C15" s="18"/>
      <c r="D15" s="300"/>
      <c r="E15" s="301"/>
      <c r="F15" s="302"/>
    </row>
    <row r="16" spans="1:6" ht="19.5" customHeight="1">
      <c r="A16" s="74" t="s">
        <v>389</v>
      </c>
      <c r="B16" s="44" t="s">
        <v>385</v>
      </c>
      <c r="C16" s="55"/>
      <c r="D16" s="297">
        <f>'QUADRO RIASSUNTIVO'!K13</f>
        <v>2265960</v>
      </c>
      <c r="E16" s="298">
        <f>'QUADRO RIASSUNTIVO'!M13</f>
        <v>2194660</v>
      </c>
      <c r="F16" s="299">
        <f>'QUADRO RIASSUNTIVO'!N13</f>
        <v>2187975</v>
      </c>
    </row>
    <row r="17" spans="1:6" ht="19.5" customHeight="1">
      <c r="A17" s="77" t="s">
        <v>390</v>
      </c>
      <c r="B17" s="46"/>
      <c r="C17" s="18"/>
      <c r="D17" s="300"/>
      <c r="E17" s="301"/>
      <c r="F17" s="302"/>
    </row>
    <row r="18" spans="1:6" ht="19.5" customHeight="1">
      <c r="A18" s="78" t="s">
        <v>391</v>
      </c>
      <c r="B18" s="44"/>
      <c r="C18" s="55"/>
      <c r="D18" s="308"/>
      <c r="E18" s="309"/>
      <c r="F18" s="307"/>
    </row>
    <row r="19" spans="1:6" ht="19.5" customHeight="1">
      <c r="A19" s="76" t="s">
        <v>392</v>
      </c>
      <c r="B19" s="56"/>
      <c r="C19" s="57"/>
      <c r="D19" s="97">
        <f>SPESA!M247</f>
        <v>58903</v>
      </c>
      <c r="E19" s="134">
        <f>SPESA!P247</f>
        <v>48567</v>
      </c>
      <c r="F19" s="155">
        <f>SPESA!S247</f>
        <v>36408</v>
      </c>
    </row>
    <row r="20" spans="1:6" ht="12.75">
      <c r="A20" s="33"/>
      <c r="B20" s="46"/>
      <c r="C20" s="18"/>
      <c r="D20" s="11"/>
      <c r="E20" s="62"/>
      <c r="F20" s="140"/>
    </row>
    <row r="21" spans="1:6" ht="19.5" customHeight="1">
      <c r="A21" s="74" t="s">
        <v>393</v>
      </c>
      <c r="B21" s="44" t="s">
        <v>385</v>
      </c>
      <c r="C21" s="55"/>
      <c r="D21" s="9">
        <v>0</v>
      </c>
      <c r="E21" s="132">
        <v>0</v>
      </c>
      <c r="F21" s="157">
        <v>0</v>
      </c>
    </row>
    <row r="22" spans="1:6" ht="12.75">
      <c r="A22" s="33"/>
      <c r="B22" s="46"/>
      <c r="C22" s="18"/>
      <c r="D22" s="11"/>
      <c r="E22" s="62"/>
      <c r="F22" s="140"/>
    </row>
    <row r="23" spans="1:6" ht="19.5" customHeight="1">
      <c r="A23" s="75" t="s">
        <v>394</v>
      </c>
      <c r="B23" s="44" t="s">
        <v>385</v>
      </c>
      <c r="C23" s="55"/>
      <c r="D23" s="9">
        <f>'QUADRO RIASSUNTIVO'!K28</f>
        <v>133310</v>
      </c>
      <c r="E23" s="132">
        <f>'QUADRO RIASSUNTIVO'!M28</f>
        <v>165610</v>
      </c>
      <c r="F23" s="156">
        <f>'QUADRO RIASSUNTIVO'!N28</f>
        <v>146295</v>
      </c>
    </row>
    <row r="24" spans="1:6" ht="19.5" customHeight="1">
      <c r="A24" s="76" t="s">
        <v>387</v>
      </c>
      <c r="B24" s="58"/>
      <c r="C24" s="59"/>
      <c r="D24" s="63">
        <v>0</v>
      </c>
      <c r="E24" s="133">
        <v>0</v>
      </c>
      <c r="F24" s="158">
        <v>0</v>
      </c>
    </row>
    <row r="25" spans="1:6" ht="12.75">
      <c r="A25" s="33"/>
      <c r="B25" s="46"/>
      <c r="C25" s="18"/>
      <c r="D25" s="11"/>
      <c r="E25" s="62"/>
      <c r="F25" s="141"/>
    </row>
    <row r="26" spans="1:6" ht="23.25" customHeight="1" thickBot="1">
      <c r="A26" s="79" t="s">
        <v>395</v>
      </c>
      <c r="B26" s="60"/>
      <c r="C26" s="61"/>
      <c r="D26" s="64">
        <f>+D7+D11+D14-D16-D21-D9-D23</f>
        <v>2000</v>
      </c>
      <c r="E26" s="135">
        <f>+E7+E11+E14-E16-E21-E9-E23</f>
        <v>2000</v>
      </c>
      <c r="F26" s="80">
        <f>+F7+F11+F14-F16-F21-F9-F23</f>
        <v>2000</v>
      </c>
    </row>
    <row r="27" spans="1:8" s="47" customFormat="1" ht="12.75">
      <c r="A27" s="18"/>
      <c r="B27" s="51"/>
      <c r="C27" s="18"/>
      <c r="D27" s="142"/>
      <c r="E27" s="142"/>
      <c r="H27" s="18"/>
    </row>
    <row r="28" spans="1:6" ht="31.5" customHeight="1">
      <c r="A28" s="1424" t="s">
        <v>396</v>
      </c>
      <c r="B28" s="1425"/>
      <c r="C28" s="1425"/>
      <c r="D28" s="1425"/>
      <c r="E28" s="1425"/>
      <c r="F28" s="1425"/>
    </row>
    <row r="29" spans="1:6" ht="12.75">
      <c r="A29" s="33"/>
      <c r="B29" s="6"/>
      <c r="C29" s="18"/>
      <c r="D29" s="48"/>
      <c r="E29" s="143"/>
      <c r="F29" s="137"/>
    </row>
    <row r="30" spans="1:8" s="47" customFormat="1" ht="19.5" customHeight="1">
      <c r="A30" s="75" t="s">
        <v>397</v>
      </c>
      <c r="B30" s="44" t="s">
        <v>383</v>
      </c>
      <c r="C30" s="65"/>
      <c r="D30" s="9" t="s">
        <v>398</v>
      </c>
      <c r="E30" s="132" t="s">
        <v>398</v>
      </c>
      <c r="F30" s="9" t="s">
        <v>398</v>
      </c>
      <c r="H30" s="18"/>
    </row>
    <row r="31" spans="1:6" ht="19.5" customHeight="1">
      <c r="A31" s="76" t="s">
        <v>387</v>
      </c>
      <c r="B31" s="58"/>
      <c r="C31" s="66"/>
      <c r="D31" s="67"/>
      <c r="E31" s="144"/>
      <c r="F31" s="139"/>
    </row>
    <row r="32" spans="1:6" ht="12.75">
      <c r="A32" s="33"/>
      <c r="B32" s="46"/>
      <c r="C32" s="68"/>
      <c r="D32" s="11"/>
      <c r="E32" s="62"/>
      <c r="F32" s="137"/>
    </row>
    <row r="33" spans="1:6" ht="19.5" customHeight="1">
      <c r="A33" s="75" t="s">
        <v>399</v>
      </c>
      <c r="B33" s="44" t="s">
        <v>383</v>
      </c>
      <c r="C33" s="65"/>
      <c r="D33" s="9">
        <v>0</v>
      </c>
      <c r="E33" s="132">
        <v>0</v>
      </c>
      <c r="F33" s="9">
        <v>0</v>
      </c>
    </row>
    <row r="34" spans="1:6" ht="19.5" customHeight="1">
      <c r="A34" s="76" t="s">
        <v>387</v>
      </c>
      <c r="B34" s="58"/>
      <c r="C34" s="66"/>
      <c r="D34" s="63">
        <v>0</v>
      </c>
      <c r="E34" s="133">
        <v>0</v>
      </c>
      <c r="F34" s="63">
        <v>0</v>
      </c>
    </row>
    <row r="35" spans="1:6" ht="12.75">
      <c r="A35" s="33"/>
      <c r="B35" s="46"/>
      <c r="C35" s="68"/>
      <c r="D35" s="11"/>
      <c r="E35" s="62"/>
      <c r="F35" s="137"/>
    </row>
    <row r="36" spans="1:6" ht="19.5" customHeight="1">
      <c r="A36" s="75" t="s">
        <v>400</v>
      </c>
      <c r="B36" s="44" t="s">
        <v>385</v>
      </c>
      <c r="C36" s="65"/>
      <c r="D36" s="9">
        <v>2000</v>
      </c>
      <c r="E36" s="132">
        <v>2000</v>
      </c>
      <c r="F36" s="9">
        <v>2000</v>
      </c>
    </row>
    <row r="37" spans="1:6" ht="12">
      <c r="A37" s="33"/>
      <c r="B37" s="46"/>
      <c r="C37" s="68"/>
      <c r="D37" s="11"/>
      <c r="E37" s="62"/>
      <c r="F37" s="137"/>
    </row>
    <row r="38" spans="1:6" ht="19.5" customHeight="1">
      <c r="A38" s="75" t="s">
        <v>401</v>
      </c>
      <c r="B38" s="44" t="s">
        <v>383</v>
      </c>
      <c r="C38" s="65"/>
      <c r="D38" s="9">
        <v>0</v>
      </c>
      <c r="E38" s="132">
        <v>0</v>
      </c>
      <c r="F38" s="9">
        <v>0</v>
      </c>
    </row>
    <row r="39" spans="1:6" ht="12">
      <c r="A39" s="74"/>
      <c r="B39" s="44"/>
      <c r="C39" s="65"/>
      <c r="D39" s="9"/>
      <c r="E39" s="132"/>
      <c r="F39" s="139"/>
    </row>
    <row r="40" spans="1:6" ht="12">
      <c r="A40" s="1430" t="s">
        <v>402</v>
      </c>
      <c r="B40" s="46"/>
      <c r="C40" s="68"/>
      <c r="D40" s="11"/>
      <c r="E40" s="62"/>
      <c r="F40" s="137"/>
    </row>
    <row r="41" spans="1:6" ht="12">
      <c r="A41" s="1431"/>
      <c r="B41" s="46"/>
      <c r="C41" s="68"/>
      <c r="D41" s="11"/>
      <c r="E41" s="62"/>
      <c r="F41" s="137"/>
    </row>
    <row r="42" spans="1:6" ht="15" thickBot="1">
      <c r="A42" s="81" t="s">
        <v>403</v>
      </c>
      <c r="B42" s="49"/>
      <c r="C42" s="69"/>
      <c r="D42" s="70">
        <f>+D26+D33-D36+D38</f>
        <v>0</v>
      </c>
      <c r="E42" s="145">
        <f>+E26+E33-E36+E38</f>
        <v>0</v>
      </c>
      <c r="F42" s="70">
        <f>+F26+F33-F36+F38</f>
        <v>0</v>
      </c>
    </row>
    <row r="43" spans="1:6" ht="12.75" customHeight="1" thickTop="1">
      <c r="A43" s="33"/>
      <c r="B43" s="46"/>
      <c r="C43" s="68"/>
      <c r="D43" s="11"/>
      <c r="E43" s="62"/>
      <c r="F43" s="137"/>
    </row>
    <row r="44" spans="1:6" ht="24" customHeight="1">
      <c r="A44" s="75" t="s">
        <v>404</v>
      </c>
      <c r="B44" s="44" t="s">
        <v>383</v>
      </c>
      <c r="C44" s="65"/>
      <c r="D44" s="9">
        <f>'QUADRO RIASSUNTIVO'!D9</f>
        <v>0</v>
      </c>
      <c r="E44" s="132">
        <f>'QUADRO RIASSUNTIVO'!F9</f>
        <v>0</v>
      </c>
      <c r="F44" s="9">
        <f>'QUADRO RIASSUNTIVO'!G9</f>
        <v>0</v>
      </c>
    </row>
    <row r="45" spans="1:6" ht="12">
      <c r="A45" s="33"/>
      <c r="B45" s="46"/>
      <c r="C45" s="68"/>
      <c r="D45" s="11"/>
      <c r="E45" s="62"/>
      <c r="F45" s="136"/>
    </row>
    <row r="46" spans="1:6" ht="19.5" customHeight="1">
      <c r="A46" s="74" t="s">
        <v>405</v>
      </c>
      <c r="B46" s="44" t="s">
        <v>383</v>
      </c>
      <c r="C46" s="65"/>
      <c r="D46" s="9">
        <f>ENTRATA!K167</f>
        <v>0</v>
      </c>
      <c r="E46" s="132">
        <v>0</v>
      </c>
      <c r="F46" s="9">
        <v>0</v>
      </c>
    </row>
    <row r="47" spans="1:6" ht="12">
      <c r="A47" s="33"/>
      <c r="B47" s="46"/>
      <c r="C47" s="68"/>
      <c r="D47" s="11"/>
      <c r="E47" s="62"/>
      <c r="F47" s="137"/>
    </row>
    <row r="48" spans="1:6" ht="19.5" customHeight="1">
      <c r="A48" s="74" t="s">
        <v>406</v>
      </c>
      <c r="B48" s="44" t="s">
        <v>383</v>
      </c>
      <c r="C48" s="65"/>
      <c r="D48" s="9">
        <f>'QUADRO RIASSUNTIVO'!D19+'QUADRO RIASSUNTIVO'!D22+'QUADRO RIASSUNTIVO'!D28</f>
        <v>1044500</v>
      </c>
      <c r="E48" s="9">
        <f>'QUADRO RIASSUNTIVO'!F19+'QUADRO RIASSUNTIVO'!F22+'QUADRO RIASSUNTIVO'!F28</f>
        <v>1195000</v>
      </c>
      <c r="F48" s="9">
        <f>'QUADRO RIASSUNTIVO'!G19+'QUADRO RIASSUNTIVO'!G22+'QUADRO RIASSUNTIVO'!G28</f>
        <v>250000</v>
      </c>
    </row>
    <row r="49" spans="1:6" ht="12">
      <c r="A49" s="33"/>
      <c r="B49" s="46"/>
      <c r="C49" s="68"/>
      <c r="D49" s="11"/>
      <c r="E49" s="62"/>
      <c r="F49" s="137"/>
    </row>
    <row r="50" spans="1:6" ht="30" customHeight="1">
      <c r="A50" s="75" t="s">
        <v>388</v>
      </c>
      <c r="B50" s="44" t="s">
        <v>385</v>
      </c>
      <c r="C50" s="65"/>
      <c r="D50" s="9">
        <v>0</v>
      </c>
      <c r="E50" s="132">
        <v>0</v>
      </c>
      <c r="F50" s="9">
        <v>0</v>
      </c>
    </row>
    <row r="51" spans="1:6" ht="12">
      <c r="A51" s="33"/>
      <c r="B51" s="46"/>
      <c r="C51" s="68"/>
      <c r="D51" s="11"/>
      <c r="E51" s="62"/>
      <c r="F51" s="137"/>
    </row>
    <row r="52" spans="1:6" ht="19.5" customHeight="1">
      <c r="A52" s="75" t="s">
        <v>399</v>
      </c>
      <c r="B52" s="44" t="s">
        <v>385</v>
      </c>
      <c r="C52" s="65"/>
      <c r="D52" s="9">
        <v>0</v>
      </c>
      <c r="E52" s="132">
        <v>0</v>
      </c>
      <c r="F52" s="9">
        <v>0</v>
      </c>
    </row>
    <row r="53" spans="1:6" ht="12">
      <c r="A53" s="33"/>
      <c r="B53" s="46"/>
      <c r="C53" s="68"/>
      <c r="D53" s="11"/>
      <c r="E53" s="62"/>
      <c r="F53" s="137"/>
    </row>
    <row r="54" spans="1:6" s="4" customFormat="1" ht="19.5" customHeight="1">
      <c r="A54" s="74" t="s">
        <v>407</v>
      </c>
      <c r="B54" s="44" t="s">
        <v>385</v>
      </c>
      <c r="C54" s="65"/>
      <c r="D54" s="9">
        <v>0</v>
      </c>
      <c r="E54" s="132">
        <v>0</v>
      </c>
      <c r="F54" s="9">
        <v>0</v>
      </c>
    </row>
    <row r="55" spans="1:8" s="4" customFormat="1" ht="12">
      <c r="A55" s="33"/>
      <c r="B55" s="46"/>
      <c r="C55" s="68"/>
      <c r="D55" s="11"/>
      <c r="E55" s="62"/>
      <c r="F55" s="138"/>
      <c r="G55" s="18"/>
      <c r="H55" s="18"/>
    </row>
    <row r="56" spans="1:6" s="4" customFormat="1" ht="19.5" customHeight="1">
      <c r="A56" s="74" t="s">
        <v>408</v>
      </c>
      <c r="B56" s="44" t="s">
        <v>385</v>
      </c>
      <c r="C56" s="65"/>
      <c r="D56" s="9">
        <v>0</v>
      </c>
      <c r="E56" s="132">
        <v>0</v>
      </c>
      <c r="F56" s="9">
        <v>0</v>
      </c>
    </row>
    <row r="57" spans="1:6" s="4" customFormat="1" ht="12">
      <c r="A57" s="33"/>
      <c r="B57" s="46"/>
      <c r="C57" s="68"/>
      <c r="D57" s="11"/>
      <c r="E57" s="62"/>
      <c r="F57" s="138"/>
    </row>
    <row r="58" spans="1:6" s="4" customFormat="1" ht="19.5" customHeight="1">
      <c r="A58" s="75" t="s">
        <v>409</v>
      </c>
      <c r="B58" s="44" t="s">
        <v>385</v>
      </c>
      <c r="C58" s="65"/>
      <c r="D58" s="9">
        <f>ENTRATA!K133</f>
        <v>200000</v>
      </c>
      <c r="E58" s="132">
        <f>ENTRATA!N133</f>
        <v>0</v>
      </c>
      <c r="F58" s="9">
        <f>ENTRATA!Q133</f>
        <v>0</v>
      </c>
    </row>
    <row r="59" spans="1:6" s="4" customFormat="1" ht="12">
      <c r="A59" s="33"/>
      <c r="B59" s="46"/>
      <c r="C59" s="68"/>
      <c r="D59" s="11"/>
      <c r="E59" s="62"/>
      <c r="F59" s="138"/>
    </row>
    <row r="60" spans="1:6" s="4" customFormat="1" ht="19.5" customHeight="1">
      <c r="A60" s="75" t="s">
        <v>400</v>
      </c>
      <c r="B60" s="44" t="s">
        <v>383</v>
      </c>
      <c r="C60" s="65"/>
      <c r="D60" s="9">
        <f>D36</f>
        <v>2000</v>
      </c>
      <c r="E60" s="9">
        <f>E36</f>
        <v>2000</v>
      </c>
      <c r="F60" s="9">
        <f>F36</f>
        <v>2000</v>
      </c>
    </row>
    <row r="61" spans="1:6" ht="12">
      <c r="A61" s="33"/>
      <c r="B61" s="46"/>
      <c r="C61" s="68"/>
      <c r="D61" s="11"/>
      <c r="E61" s="62"/>
      <c r="F61" s="137"/>
    </row>
    <row r="62" spans="1:6" ht="19.5" customHeight="1">
      <c r="A62" s="74" t="s">
        <v>410</v>
      </c>
      <c r="B62" s="44" t="s">
        <v>385</v>
      </c>
      <c r="C62" s="65"/>
      <c r="D62" s="9">
        <f>'QUADRO RIASSUNTIVO'!K19</f>
        <v>846500</v>
      </c>
      <c r="E62" s="9">
        <f>'QUADRO RIASSUNTIVO'!M19</f>
        <v>1197000</v>
      </c>
      <c r="F62" s="9">
        <f>'QUADRO RIASSUNTIVO'!N19</f>
        <v>252000</v>
      </c>
    </row>
    <row r="63" spans="1:6" ht="19.5" customHeight="1">
      <c r="A63" s="76" t="s">
        <v>411</v>
      </c>
      <c r="B63" s="58"/>
      <c r="C63" s="66"/>
      <c r="D63" s="63">
        <v>0</v>
      </c>
      <c r="E63" s="133">
        <v>0</v>
      </c>
      <c r="F63" s="63">
        <v>0</v>
      </c>
    </row>
    <row r="64" spans="1:6" ht="12">
      <c r="A64" s="33"/>
      <c r="B64" s="46"/>
      <c r="C64" s="68"/>
      <c r="D64" s="11"/>
      <c r="E64" s="62"/>
      <c r="F64" s="137"/>
    </row>
    <row r="65" spans="1:6" ht="19.5" customHeight="1">
      <c r="A65" s="74" t="s">
        <v>412</v>
      </c>
      <c r="B65" s="44" t="s">
        <v>385</v>
      </c>
      <c r="C65" s="65"/>
      <c r="D65" s="9">
        <v>0</v>
      </c>
      <c r="E65" s="132">
        <v>0</v>
      </c>
      <c r="F65" s="9">
        <v>0</v>
      </c>
    </row>
    <row r="66" spans="1:6" ht="12">
      <c r="A66" s="33"/>
      <c r="B66" s="46"/>
      <c r="C66" s="68"/>
      <c r="D66" s="11"/>
      <c r="E66" s="62"/>
      <c r="F66" s="137"/>
    </row>
    <row r="67" spans="1:6" ht="19.5" customHeight="1">
      <c r="A67" s="74" t="s">
        <v>393</v>
      </c>
      <c r="B67" s="44" t="s">
        <v>383</v>
      </c>
      <c r="C67" s="65"/>
      <c r="D67" s="9">
        <v>0</v>
      </c>
      <c r="E67" s="132">
        <v>0</v>
      </c>
      <c r="F67" s="9">
        <v>0</v>
      </c>
    </row>
    <row r="68" spans="1:6" ht="12">
      <c r="A68" s="1431" t="s">
        <v>413</v>
      </c>
      <c r="B68" s="46"/>
      <c r="C68" s="68"/>
      <c r="D68" s="11"/>
      <c r="E68" s="62"/>
      <c r="F68" s="137"/>
    </row>
    <row r="69" spans="1:6" ht="12">
      <c r="A69" s="1431"/>
      <c r="B69" s="46"/>
      <c r="C69" s="68"/>
      <c r="D69" s="11"/>
      <c r="E69" s="62"/>
      <c r="F69" s="137"/>
    </row>
    <row r="70" spans="1:6" ht="15" thickBot="1">
      <c r="A70" s="81" t="s">
        <v>414</v>
      </c>
      <c r="B70" s="49"/>
      <c r="C70" s="69"/>
      <c r="D70" s="70">
        <f>+D44+D46+D48-D50-D52-D54-D56-D58+D60-D62-D65+D67</f>
        <v>0</v>
      </c>
      <c r="E70" s="70">
        <f>+E44+E46+E48-E50-E52-E54-E56-E58+E60-E62-E65+E67</f>
        <v>0</v>
      </c>
      <c r="F70" s="70">
        <f>+F44+F46+F48-F50-F52-F54-F56-F58+F60-F62-F65+F67</f>
        <v>0</v>
      </c>
    </row>
    <row r="71" spans="1:6" ht="12.75" customHeight="1" thickTop="1">
      <c r="A71" s="33"/>
      <c r="B71" s="46"/>
      <c r="C71" s="68"/>
      <c r="D71" s="11"/>
      <c r="E71" s="62"/>
      <c r="F71" s="137"/>
    </row>
    <row r="72" spans="1:6" ht="19.5" customHeight="1">
      <c r="A72" s="74" t="s">
        <v>407</v>
      </c>
      <c r="B72" s="44" t="s">
        <v>383</v>
      </c>
      <c r="C72" s="65"/>
      <c r="D72" s="9">
        <v>0</v>
      </c>
      <c r="E72" s="132">
        <v>0</v>
      </c>
      <c r="F72" s="9">
        <v>0</v>
      </c>
    </row>
    <row r="73" spans="1:6" s="4" customFormat="1" ht="12">
      <c r="A73" s="33"/>
      <c r="B73" s="46"/>
      <c r="C73" s="68"/>
      <c r="D73" s="11"/>
      <c r="E73" s="62"/>
      <c r="F73" s="138"/>
    </row>
    <row r="74" spans="1:6" s="4" customFormat="1" ht="19.5" customHeight="1">
      <c r="A74" s="74" t="s">
        <v>408</v>
      </c>
      <c r="B74" s="44" t="s">
        <v>383</v>
      </c>
      <c r="C74" s="65"/>
      <c r="D74" s="9">
        <v>0</v>
      </c>
      <c r="E74" s="132">
        <v>0</v>
      </c>
      <c r="F74" s="9">
        <v>0</v>
      </c>
    </row>
    <row r="75" spans="1:6" s="4" customFormat="1" ht="12">
      <c r="A75" s="33"/>
      <c r="B75" s="46"/>
      <c r="C75" s="68"/>
      <c r="D75" s="11"/>
      <c r="E75" s="62"/>
      <c r="F75" s="138"/>
    </row>
    <row r="76" spans="1:6" s="4" customFormat="1" ht="19.5" customHeight="1">
      <c r="A76" s="75" t="s">
        <v>409</v>
      </c>
      <c r="B76" s="44" t="s">
        <v>383</v>
      </c>
      <c r="C76" s="65"/>
      <c r="D76" s="9">
        <v>200000</v>
      </c>
      <c r="E76" s="132">
        <v>0</v>
      </c>
      <c r="F76" s="9">
        <v>0</v>
      </c>
    </row>
    <row r="77" spans="1:6" ht="12">
      <c r="A77" s="33"/>
      <c r="B77" s="46"/>
      <c r="C77" s="68"/>
      <c r="D77" s="11"/>
      <c r="E77" s="62"/>
      <c r="F77" s="137"/>
    </row>
    <row r="78" spans="1:6" ht="19.5" customHeight="1">
      <c r="A78" s="74" t="s">
        <v>415</v>
      </c>
      <c r="B78" s="44" t="s">
        <v>385</v>
      </c>
      <c r="C78" s="65"/>
      <c r="D78" s="9">
        <v>0</v>
      </c>
      <c r="E78" s="132">
        <v>0</v>
      </c>
      <c r="F78" s="9">
        <v>0</v>
      </c>
    </row>
    <row r="79" spans="1:6" ht="12">
      <c r="A79" s="33"/>
      <c r="B79" s="46"/>
      <c r="C79" s="68"/>
      <c r="D79" s="11"/>
      <c r="E79" s="62"/>
      <c r="F79" s="137"/>
    </row>
    <row r="80" spans="1:6" s="4" customFormat="1" ht="19.5" customHeight="1">
      <c r="A80" s="74" t="s">
        <v>416</v>
      </c>
      <c r="B80" s="44" t="s">
        <v>385</v>
      </c>
      <c r="C80" s="65"/>
      <c r="D80" s="9">
        <v>0</v>
      </c>
      <c r="E80" s="132">
        <v>0</v>
      </c>
      <c r="F80" s="9">
        <v>0</v>
      </c>
    </row>
    <row r="81" spans="1:6" s="4" customFormat="1" ht="12">
      <c r="A81" s="33"/>
      <c r="B81" s="46"/>
      <c r="C81" s="68"/>
      <c r="D81" s="11"/>
      <c r="E81" s="62"/>
      <c r="F81" s="138"/>
    </row>
    <row r="82" spans="1:6" s="4" customFormat="1" ht="19.5" customHeight="1">
      <c r="A82" s="75" t="s">
        <v>417</v>
      </c>
      <c r="B82" s="44" t="s">
        <v>385</v>
      </c>
      <c r="C82" s="65"/>
      <c r="D82" s="9">
        <v>0</v>
      </c>
      <c r="E82" s="132">
        <v>0</v>
      </c>
      <c r="F82" s="9">
        <v>0</v>
      </c>
    </row>
    <row r="83" spans="1:6" ht="12">
      <c r="A83" s="1430" t="s">
        <v>418</v>
      </c>
      <c r="B83" s="6"/>
      <c r="C83" s="68"/>
      <c r="D83" s="11"/>
      <c r="E83" s="62"/>
      <c r="F83" s="137"/>
    </row>
    <row r="84" spans="1:6" ht="12">
      <c r="A84" s="1431"/>
      <c r="B84" s="46"/>
      <c r="C84" s="68"/>
      <c r="D84" s="11"/>
      <c r="E84" s="62"/>
      <c r="F84" s="296"/>
    </row>
    <row r="85" spans="1:6" ht="15" thickBot="1">
      <c r="A85" s="82" t="s">
        <v>419</v>
      </c>
      <c r="B85" s="83"/>
      <c r="C85" s="84"/>
      <c r="D85" s="64">
        <f>+D42+D70+D72+D74+D76-D78-D80-D82</f>
        <v>200000</v>
      </c>
      <c r="E85" s="135">
        <f>+E42+E70+E72+E74+E76-E78-E80-E82</f>
        <v>0</v>
      </c>
      <c r="F85" s="64">
        <f>+F42+F70+F72+F74+F76-F78-F80-F82</f>
        <v>0</v>
      </c>
    </row>
    <row r="86" spans="1:5" ht="12">
      <c r="A86" s="50"/>
      <c r="B86" s="51"/>
      <c r="C86" s="51"/>
      <c r="D86" s="18"/>
      <c r="E86" s="18"/>
    </row>
    <row r="87" spans="1:5" ht="19.5" customHeight="1">
      <c r="A87" s="1423" t="s">
        <v>420</v>
      </c>
      <c r="B87" s="1423"/>
      <c r="C87" s="1423"/>
      <c r="D87" s="1423"/>
      <c r="E87" s="1423"/>
    </row>
    <row r="88" spans="1:5" s="4" customFormat="1" ht="19.5" customHeight="1">
      <c r="A88" s="1423" t="s">
        <v>421</v>
      </c>
      <c r="B88" s="1423"/>
      <c r="C88" s="1423"/>
      <c r="D88" s="1423"/>
      <c r="E88" s="1423"/>
    </row>
    <row r="89" spans="1:5" s="4" customFormat="1" ht="19.5" customHeight="1">
      <c r="A89" s="1423" t="s">
        <v>422</v>
      </c>
      <c r="B89" s="1423"/>
      <c r="C89" s="1423"/>
      <c r="D89" s="1423"/>
      <c r="E89" s="1423"/>
    </row>
    <row r="90" spans="1:5" s="4" customFormat="1" ht="19.5" customHeight="1">
      <c r="A90" s="1423" t="s">
        <v>429</v>
      </c>
      <c r="B90" s="1423"/>
      <c r="C90" s="1423"/>
      <c r="D90" s="1423"/>
      <c r="E90" s="1423"/>
    </row>
    <row r="91" spans="1:5" s="4" customFormat="1" ht="19.5" customHeight="1">
      <c r="A91" s="1423" t="s">
        <v>430</v>
      </c>
      <c r="B91" s="1423"/>
      <c r="C91" s="1423"/>
      <c r="D91" s="1423"/>
      <c r="E91" s="1423"/>
    </row>
    <row r="92" spans="1:5" s="4" customFormat="1" ht="19.5" customHeight="1">
      <c r="A92" s="1423" t="s">
        <v>431</v>
      </c>
      <c r="B92" s="1423"/>
      <c r="C92" s="1423"/>
      <c r="D92" s="1423"/>
      <c r="E92" s="1423"/>
    </row>
    <row r="93" spans="1:5" s="4" customFormat="1" ht="19.5" customHeight="1">
      <c r="A93" s="1423" t="s">
        <v>432</v>
      </c>
      <c r="B93" s="1423"/>
      <c r="C93" s="1423"/>
      <c r="D93" s="1423"/>
      <c r="E93" s="1423"/>
    </row>
    <row r="94" spans="1:5" s="4" customFormat="1" ht="19.5" customHeight="1">
      <c r="A94" s="1423" t="s">
        <v>434</v>
      </c>
      <c r="B94" s="1423"/>
      <c r="C94" s="1423"/>
      <c r="D94" s="1423"/>
      <c r="E94" s="1423"/>
    </row>
    <row r="95" spans="1:3" s="4" customFormat="1" ht="15" customHeight="1">
      <c r="A95" s="18"/>
      <c r="B95" s="52"/>
      <c r="C95" s="52"/>
    </row>
    <row r="96" spans="1:5" s="4" customFormat="1" ht="19.5" customHeight="1">
      <c r="A96" s="1423" t="s">
        <v>435</v>
      </c>
      <c r="B96" s="1423"/>
      <c r="C96" s="1423"/>
      <c r="D96" s="1423"/>
      <c r="E96" s="1423"/>
    </row>
    <row r="97" spans="1:3" s="4" customFormat="1" ht="12">
      <c r="A97" s="41"/>
      <c r="B97" s="52"/>
      <c r="C97" s="52"/>
    </row>
    <row r="98" spans="1:3" s="4" customFormat="1" ht="33.75" customHeight="1">
      <c r="A98" s="41"/>
      <c r="B98" s="52"/>
      <c r="C98" s="52"/>
    </row>
    <row r="99" spans="1:5" s="4" customFormat="1" ht="12">
      <c r="A99" s="41"/>
      <c r="B99" s="42"/>
      <c r="C99" s="42"/>
      <c r="D99" s="40"/>
      <c r="E99" s="40"/>
    </row>
    <row r="100" spans="1:5" s="4" customFormat="1" ht="12">
      <c r="A100" s="41"/>
      <c r="B100" s="42"/>
      <c r="C100" s="42"/>
      <c r="D100" s="40"/>
      <c r="E100" s="40"/>
    </row>
  </sheetData>
  <sheetProtection/>
  <mergeCells count="16">
    <mergeCell ref="A28:F28"/>
    <mergeCell ref="A88:E88"/>
    <mergeCell ref="A89:E89"/>
    <mergeCell ref="A1:E1"/>
    <mergeCell ref="A2:E2"/>
    <mergeCell ref="A4:B4"/>
    <mergeCell ref="A40:A41"/>
    <mergeCell ref="A68:A69"/>
    <mergeCell ref="A83:A84"/>
    <mergeCell ref="A87:E87"/>
    <mergeCell ref="A90:E90"/>
    <mergeCell ref="A96:E96"/>
    <mergeCell ref="A91:E91"/>
    <mergeCell ref="A92:E92"/>
    <mergeCell ref="A93:E93"/>
    <mergeCell ref="A94:E94"/>
  </mergeCells>
  <printOptions horizontalCentered="1" verticalCentered="1"/>
  <pageMargins left="0" right="0" top="0.1968503937007874" bottom="0.1968503937007874" header="0.5118110236220472" footer="0.5118110236220472"/>
  <pageSetup horizontalDpi="600" verticalDpi="600" orientation="landscape" paperSize="9" scale="60" r:id="rId3"/>
  <rowBreaks count="2" manualBreakCount="2">
    <brk id="27" max="255" man="1"/>
    <brk id="63" max="255" man="1"/>
  </rowBreaks>
  <legacyDrawing r:id="rId2"/>
</worksheet>
</file>

<file path=xl/worksheets/sheet9.xml><?xml version="1.0" encoding="utf-8"?>
<worksheet xmlns="http://schemas.openxmlformats.org/spreadsheetml/2006/main" xmlns:r="http://schemas.openxmlformats.org/officeDocument/2006/relationships">
  <sheetPr>
    <tabColor rgb="FFFF0000"/>
  </sheetPr>
  <dimension ref="A1:F114"/>
  <sheetViews>
    <sheetView showGridLines="0" zoomScalePageLayoutView="0" workbookViewId="0" topLeftCell="A46">
      <selection activeCell="D14" sqref="D14"/>
    </sheetView>
  </sheetViews>
  <sheetFormatPr defaultColWidth="9.140625" defaultRowHeight="12.75"/>
  <cols>
    <col min="1" max="1" width="75.57421875" style="1138" customWidth="1"/>
    <col min="2" max="2" width="6.28125" style="1107" customWidth="1"/>
    <col min="3" max="3" width="18.28125" style="1107" customWidth="1"/>
    <col min="4" max="4" width="17.28125" style="0" customWidth="1"/>
    <col min="5" max="5" width="16.57421875" style="0" customWidth="1"/>
    <col min="6" max="6" width="15.140625" style="0" customWidth="1"/>
  </cols>
  <sheetData>
    <row r="1" spans="1:6" ht="21">
      <c r="A1" s="1432" t="s">
        <v>776</v>
      </c>
      <c r="B1" s="1432"/>
      <c r="C1" s="1432"/>
      <c r="D1" s="1432"/>
      <c r="E1" s="1432"/>
      <c r="F1" s="1432"/>
    </row>
    <row r="2" spans="1:6" ht="14.25">
      <c r="A2" s="1105"/>
      <c r="B2" s="1106"/>
      <c r="C2" s="1105"/>
      <c r="D2" s="1105"/>
      <c r="E2" s="1105"/>
      <c r="F2" s="1105"/>
    </row>
    <row r="3" spans="1:6" ht="21">
      <c r="A3" s="1433" t="s">
        <v>379</v>
      </c>
      <c r="B3" s="1434"/>
      <c r="C3" s="1434"/>
      <c r="D3" s="1434"/>
      <c r="E3" s="1434"/>
      <c r="F3" s="1434"/>
    </row>
    <row r="4" spans="1:6" ht="41.25" customHeight="1">
      <c r="A4" s="1433" t="s">
        <v>777</v>
      </c>
      <c r="B4" s="1434"/>
      <c r="C4" s="1434"/>
      <c r="D4" s="1434"/>
      <c r="E4" s="1434"/>
      <c r="F4" s="1434"/>
    </row>
    <row r="5" ht="12.75" thickBot="1">
      <c r="A5"/>
    </row>
    <row r="6" spans="1:6" ht="58.5" thickTop="1">
      <c r="A6" s="1435" t="s">
        <v>380</v>
      </c>
      <c r="B6" s="1436"/>
      <c r="C6" s="1108"/>
      <c r="D6" s="1108" t="s">
        <v>1024</v>
      </c>
      <c r="E6" s="1108" t="s">
        <v>682</v>
      </c>
      <c r="F6" s="1109" t="s">
        <v>767</v>
      </c>
    </row>
    <row r="7" spans="1:6" ht="12">
      <c r="A7" s="1110"/>
      <c r="B7" s="1111"/>
      <c r="C7" s="1230"/>
      <c r="D7" s="1231"/>
      <c r="E7" s="1231"/>
      <c r="F7" s="1232"/>
    </row>
    <row r="8" spans="1:6" ht="14.25">
      <c r="A8" s="1112" t="s">
        <v>381</v>
      </c>
      <c r="B8" s="1113"/>
      <c r="C8" s="1233">
        <f>CASSA!B3</f>
        <v>1857679.17</v>
      </c>
      <c r="D8" s="1234"/>
      <c r="E8" s="1234"/>
      <c r="F8" s="1235"/>
    </row>
    <row r="9" spans="1:6" ht="12">
      <c r="A9" s="1114"/>
      <c r="B9" s="1111"/>
      <c r="C9" s="1236"/>
      <c r="D9" s="1231"/>
      <c r="E9" s="1231"/>
      <c r="F9" s="1232"/>
    </row>
    <row r="10" spans="1:6" ht="12">
      <c r="A10" s="1116" t="s">
        <v>382</v>
      </c>
      <c r="B10" s="1117" t="s">
        <v>383</v>
      </c>
      <c r="C10" s="1237"/>
      <c r="D10" s="1238">
        <f>ENTRATA!K166</f>
        <v>0</v>
      </c>
      <c r="E10" s="1238">
        <f>ENTRATA!N166</f>
        <v>0</v>
      </c>
      <c r="F10" s="1239">
        <f>ENTRATA!Q166</f>
        <v>0</v>
      </c>
    </row>
    <row r="11" spans="1:6" ht="12">
      <c r="A11" s="1116"/>
      <c r="B11" s="1117"/>
      <c r="C11" s="1237"/>
      <c r="D11" s="1238"/>
      <c r="E11" s="1240"/>
      <c r="F11" s="1239"/>
    </row>
    <row r="12" spans="1:6" ht="12">
      <c r="A12" s="1120" t="s">
        <v>384</v>
      </c>
      <c r="B12" s="1117" t="s">
        <v>385</v>
      </c>
      <c r="C12" s="1237"/>
      <c r="D12" s="1238">
        <v>0</v>
      </c>
      <c r="E12" s="1238">
        <v>0</v>
      </c>
      <c r="F12" s="1239">
        <v>0</v>
      </c>
    </row>
    <row r="13" spans="1:6" ht="12">
      <c r="A13" s="1116"/>
      <c r="B13" s="1117"/>
      <c r="C13" s="1237"/>
      <c r="D13" s="1238"/>
      <c r="E13" s="1238"/>
      <c r="F13" s="1239"/>
    </row>
    <row r="14" spans="1:6" ht="12">
      <c r="A14" s="1116" t="s">
        <v>386</v>
      </c>
      <c r="B14" s="1117" t="s">
        <v>383</v>
      </c>
      <c r="C14" s="1237"/>
      <c r="D14" s="1238">
        <f>'PAREGGIO PARTE CORRENTE'!D6+'PAREGGIO PARTE CORRENTE'!D7+'PAREGGIO PARTE CORRENTE'!D8</f>
        <v>2401270</v>
      </c>
      <c r="E14" s="1238">
        <f>'PAREGGIO PARTE CORRENTE'!E6+'PAREGGIO PARTE CORRENTE'!E7+'PAREGGIO PARTE CORRENTE'!E8</f>
        <v>2362270</v>
      </c>
      <c r="F14" s="1239">
        <f>'PAREGGIO PARTE CORRENTE'!F6+'PAREGGIO PARTE CORRENTE'!F7+'PAREGGIO PARTE CORRENTE'!F8</f>
        <v>2336270</v>
      </c>
    </row>
    <row r="15" spans="1:6" ht="14.25">
      <c r="A15" s="1121" t="s">
        <v>387</v>
      </c>
      <c r="B15" s="1117"/>
      <c r="C15" s="1237"/>
      <c r="D15" s="1241">
        <v>0</v>
      </c>
      <c r="E15" s="1241">
        <v>0</v>
      </c>
      <c r="F15" s="1242">
        <v>0</v>
      </c>
    </row>
    <row r="16" spans="1:6" ht="12">
      <c r="A16" s="1116"/>
      <c r="B16" s="1117"/>
      <c r="C16" s="1237"/>
      <c r="D16" s="1238"/>
      <c r="E16" s="1238"/>
      <c r="F16" s="1239"/>
    </row>
    <row r="17" spans="1:6" ht="24.75">
      <c r="A17" s="1120" t="s">
        <v>388</v>
      </c>
      <c r="B17" s="1117" t="s">
        <v>383</v>
      </c>
      <c r="C17"/>
      <c r="D17" s="1238">
        <v>0</v>
      </c>
      <c r="E17" s="1238">
        <v>0</v>
      </c>
      <c r="F17" s="1239">
        <v>0</v>
      </c>
    </row>
    <row r="18" spans="1:6" ht="12">
      <c r="A18" s="1116"/>
      <c r="B18" s="1117"/>
      <c r="C18"/>
      <c r="D18" s="1238"/>
      <c r="E18" s="1238"/>
      <c r="F18" s="1239"/>
    </row>
    <row r="19" spans="1:6" ht="12">
      <c r="A19" s="1116" t="s">
        <v>389</v>
      </c>
      <c r="B19" s="1117" t="s">
        <v>385</v>
      </c>
      <c r="C19"/>
      <c r="D19" s="1238">
        <f>'PAREGGIO PARTE CORRENTE'!D11</f>
        <v>2265960</v>
      </c>
      <c r="E19" s="1238">
        <f>'PAREGGIO PARTE CORRENTE'!E11</f>
        <v>2194660</v>
      </c>
      <c r="F19" s="1239">
        <f>'PAREGGIO PARTE CORRENTE'!F11</f>
        <v>2187975</v>
      </c>
    </row>
    <row r="20" spans="1:6" ht="14.25">
      <c r="A20" s="1121" t="s">
        <v>390</v>
      </c>
      <c r="B20" s="1117"/>
      <c r="C20"/>
      <c r="D20" s="1238"/>
      <c r="E20" s="1238"/>
      <c r="F20" s="1239"/>
    </row>
    <row r="21" spans="1:6" ht="14.25">
      <c r="A21" s="1121" t="s">
        <v>391</v>
      </c>
      <c r="B21" s="1117"/>
      <c r="C21"/>
      <c r="D21" s="1241">
        <v>0</v>
      </c>
      <c r="E21" s="1241">
        <v>0</v>
      </c>
      <c r="F21" s="1242">
        <v>0</v>
      </c>
    </row>
    <row r="22" spans="1:6" ht="14.25">
      <c r="A22" s="1121" t="s">
        <v>392</v>
      </c>
      <c r="B22" s="1117"/>
      <c r="C22"/>
      <c r="D22" s="1241">
        <f>SPESA!M247</f>
        <v>58903</v>
      </c>
      <c r="E22" s="1241">
        <f>SPESA!P247</f>
        <v>48567</v>
      </c>
      <c r="F22" s="1242">
        <f>SPESA!S247</f>
        <v>36408</v>
      </c>
    </row>
    <row r="23" spans="1:6" ht="12">
      <c r="A23" s="1116"/>
      <c r="B23" s="1117"/>
      <c r="C23"/>
      <c r="D23" s="1238"/>
      <c r="E23" s="1238"/>
      <c r="F23" s="1239"/>
    </row>
    <row r="24" spans="1:6" ht="12">
      <c r="A24" s="1116" t="s">
        <v>393</v>
      </c>
      <c r="B24" s="1117" t="s">
        <v>385</v>
      </c>
      <c r="C24"/>
      <c r="D24" s="1238">
        <v>0</v>
      </c>
      <c r="E24" s="1238">
        <v>0</v>
      </c>
      <c r="F24" s="1239">
        <v>0</v>
      </c>
    </row>
    <row r="25" spans="1:6" ht="12">
      <c r="A25" s="1116"/>
      <c r="B25" s="1117"/>
      <c r="C25"/>
      <c r="D25" s="1238"/>
      <c r="E25" s="1238"/>
      <c r="F25" s="1239"/>
    </row>
    <row r="26" spans="1:6" ht="12">
      <c r="A26" s="1120" t="s">
        <v>394</v>
      </c>
      <c r="B26" s="1117" t="s">
        <v>385</v>
      </c>
      <c r="C26"/>
      <c r="D26" s="1238">
        <f>'PAREGGIO PARTE CORRENTE'!D12</f>
        <v>133310</v>
      </c>
      <c r="E26" s="1238">
        <f>'PAREGGIO PARTE CORRENTE'!E12</f>
        <v>165610</v>
      </c>
      <c r="F26" s="1239">
        <f>'PAREGGIO PARTE CORRENTE'!F12</f>
        <v>146295</v>
      </c>
    </row>
    <row r="27" spans="1:6" ht="14.25">
      <c r="A27" s="1121" t="s">
        <v>387</v>
      </c>
      <c r="B27" s="1122"/>
      <c r="C27" s="1123"/>
      <c r="D27" s="1241">
        <v>0</v>
      </c>
      <c r="E27" s="1241">
        <v>0</v>
      </c>
      <c r="F27" s="1242">
        <v>0</v>
      </c>
    </row>
    <row r="28" spans="1:6" ht="28.5">
      <c r="A28" s="1124" t="s">
        <v>778</v>
      </c>
      <c r="B28" s="1117"/>
      <c r="C28"/>
      <c r="D28" s="1241">
        <v>0</v>
      </c>
      <c r="E28" s="1241">
        <v>0</v>
      </c>
      <c r="F28" s="1242">
        <v>0</v>
      </c>
    </row>
    <row r="29" spans="1:6" ht="12">
      <c r="A29" s="1120"/>
      <c r="B29" s="1117"/>
      <c r="C29"/>
      <c r="D29" s="1238"/>
      <c r="E29" s="1238"/>
      <c r="F29" s="1239"/>
    </row>
    <row r="30" spans="1:6" ht="14.25">
      <c r="A30" s="1125" t="s">
        <v>395</v>
      </c>
      <c r="B30" s="1126"/>
      <c r="C30" s="1127"/>
      <c r="D30" s="1243">
        <f>+D10+D14+D17-D19-D24-D12-D26</f>
        <v>2000</v>
      </c>
      <c r="E30" s="1243">
        <f>+E10+E14+E17-E19-E24-E12-E26</f>
        <v>2000</v>
      </c>
      <c r="F30" s="1244">
        <f>+F10+F14+F17-F19-F24-F12-F26</f>
        <v>2000</v>
      </c>
    </row>
    <row r="31" spans="1:6" ht="12">
      <c r="A31" s="1128"/>
      <c r="B31" s="1113"/>
      <c r="C31" s="1129"/>
      <c r="D31" s="1130"/>
      <c r="E31" s="1130"/>
      <c r="F31" s="1131"/>
    </row>
    <row r="32" spans="1:6" ht="31.5" customHeight="1">
      <c r="A32" s="1437" t="s">
        <v>779</v>
      </c>
      <c r="B32" s="1438"/>
      <c r="C32" s="1438"/>
      <c r="D32" s="1438"/>
      <c r="E32" s="1438"/>
      <c r="F32" s="1439"/>
    </row>
    <row r="33" spans="1:6" ht="12">
      <c r="A33" s="1116"/>
      <c r="B33" s="1111"/>
      <c r="C33"/>
      <c r="D33" s="1132"/>
      <c r="E33" s="1132"/>
      <c r="F33" s="1133"/>
    </row>
    <row r="34" spans="1:6" ht="16.5">
      <c r="A34" s="1120" t="s">
        <v>780</v>
      </c>
      <c r="B34" s="1117" t="s">
        <v>383</v>
      </c>
      <c r="C34"/>
      <c r="D34" s="1238">
        <v>0</v>
      </c>
      <c r="E34" s="1238" t="s">
        <v>398</v>
      </c>
      <c r="F34" s="1239" t="s">
        <v>398</v>
      </c>
    </row>
    <row r="35" spans="1:6" ht="14.25">
      <c r="A35" s="1121" t="s">
        <v>387</v>
      </c>
      <c r="B35" s="1122"/>
      <c r="C35" s="1123"/>
      <c r="D35" s="1241">
        <v>0</v>
      </c>
      <c r="E35" s="1238"/>
      <c r="F35" s="1239"/>
    </row>
    <row r="36" spans="1:6" ht="12">
      <c r="A36" s="1116"/>
      <c r="B36" s="1117"/>
      <c r="C36"/>
      <c r="D36" s="1238"/>
      <c r="E36" s="1238"/>
      <c r="F36" s="1239"/>
    </row>
    <row r="37" spans="1:6" ht="24.75">
      <c r="A37" s="1120" t="s">
        <v>781</v>
      </c>
      <c r="B37" s="1117" t="s">
        <v>383</v>
      </c>
      <c r="C37"/>
      <c r="D37" s="1238">
        <v>0</v>
      </c>
      <c r="E37" s="1238">
        <v>0</v>
      </c>
      <c r="F37" s="1239">
        <v>0</v>
      </c>
    </row>
    <row r="38" spans="1:6" ht="14.25">
      <c r="A38" s="1121" t="s">
        <v>387</v>
      </c>
      <c r="B38" s="1122"/>
      <c r="C38" s="1123"/>
      <c r="D38" s="1241">
        <v>0</v>
      </c>
      <c r="E38" s="1241">
        <v>0</v>
      </c>
      <c r="F38" s="1242">
        <v>0</v>
      </c>
    </row>
    <row r="39" spans="1:6" ht="12">
      <c r="A39" s="1116"/>
      <c r="B39" s="1117"/>
      <c r="C39"/>
      <c r="D39" s="1238"/>
      <c r="E39" s="1238"/>
      <c r="F39" s="1239"/>
    </row>
    <row r="40" spans="1:6" ht="24.75">
      <c r="A40" s="1120" t="s">
        <v>782</v>
      </c>
      <c r="B40" s="1117" t="s">
        <v>385</v>
      </c>
      <c r="C40"/>
      <c r="D40" s="1238">
        <v>2000</v>
      </c>
      <c r="E40" s="1238">
        <v>2000</v>
      </c>
      <c r="F40" s="1239">
        <v>2000</v>
      </c>
    </row>
    <row r="41" spans="1:6" ht="12">
      <c r="A41" s="1116"/>
      <c r="B41" s="1117"/>
      <c r="C41"/>
      <c r="D41" s="1238"/>
      <c r="E41" s="1238"/>
      <c r="F41" s="1239"/>
    </row>
    <row r="42" spans="1:6" ht="12">
      <c r="A42" s="1120" t="s">
        <v>401</v>
      </c>
      <c r="B42" s="1117" t="s">
        <v>383</v>
      </c>
      <c r="C42"/>
      <c r="D42" s="1238">
        <v>0</v>
      </c>
      <c r="E42" s="1238">
        <v>0</v>
      </c>
      <c r="F42" s="1239">
        <v>0</v>
      </c>
    </row>
    <row r="43" spans="1:6" ht="12">
      <c r="A43" s="1128"/>
      <c r="B43" s="1113"/>
      <c r="C43" s="1129"/>
      <c r="D43" s="1245"/>
      <c r="E43" s="1245"/>
      <c r="F43" s="1246"/>
    </row>
    <row r="44" spans="1:6" ht="12">
      <c r="A44" s="1440" t="s">
        <v>783</v>
      </c>
      <c r="B44" s="1117"/>
      <c r="C44"/>
      <c r="D44" s="1238"/>
      <c r="E44" s="1238"/>
      <c r="F44" s="1239"/>
    </row>
    <row r="45" spans="1:6" ht="12">
      <c r="A45" s="1441"/>
      <c r="B45" s="1117"/>
      <c r="C45"/>
      <c r="D45" s="1238"/>
      <c r="E45" s="1238"/>
      <c r="F45" s="1239"/>
    </row>
    <row r="46" spans="1:6" ht="15" thickBot="1">
      <c r="A46" s="1134" t="s">
        <v>403</v>
      </c>
      <c r="B46" s="1135"/>
      <c r="C46" s="1136"/>
      <c r="D46" s="1247">
        <f>+D30+D34+D37-D40+D42</f>
        <v>0</v>
      </c>
      <c r="E46" s="1247">
        <f>+E30+E37-E40+E42</f>
        <v>0</v>
      </c>
      <c r="F46" s="1248">
        <f>+F30+F37-F40+F42</f>
        <v>0</v>
      </c>
    </row>
    <row r="47" spans="1:6" ht="12.75" thickTop="1">
      <c r="A47" s="1116"/>
      <c r="B47" s="1117"/>
      <c r="C47"/>
      <c r="D47" s="1118"/>
      <c r="E47" s="1118"/>
      <c r="F47" s="1119"/>
    </row>
    <row r="48" spans="1:6" ht="16.5">
      <c r="A48" s="1251" t="s">
        <v>977</v>
      </c>
      <c r="B48" s="1117" t="s">
        <v>383</v>
      </c>
      <c r="C48"/>
      <c r="D48" s="1238">
        <v>0</v>
      </c>
      <c r="E48" s="1238" t="s">
        <v>398</v>
      </c>
      <c r="F48" s="1239" t="s">
        <v>398</v>
      </c>
    </row>
    <row r="49" spans="1:6" ht="12">
      <c r="A49" s="1116"/>
      <c r="B49" s="1117"/>
      <c r="C49"/>
      <c r="D49" s="1238"/>
      <c r="E49" s="1238"/>
      <c r="F49" s="1239"/>
    </row>
    <row r="50" spans="1:6" ht="12">
      <c r="A50" s="1116" t="s">
        <v>405</v>
      </c>
      <c r="B50" s="1117" t="s">
        <v>383</v>
      </c>
      <c r="C50"/>
      <c r="D50" s="1238">
        <v>0</v>
      </c>
      <c r="E50" s="1238">
        <v>0</v>
      </c>
      <c r="F50" s="1239">
        <v>0</v>
      </c>
    </row>
    <row r="51" spans="1:6" ht="12">
      <c r="A51" s="1116"/>
      <c r="B51" s="1117"/>
      <c r="C51"/>
      <c r="D51" s="1238"/>
      <c r="E51" s="1238"/>
      <c r="F51" s="1239"/>
    </row>
    <row r="52" spans="1:6" ht="12">
      <c r="A52" s="1116" t="s">
        <v>406</v>
      </c>
      <c r="B52" s="1117" t="s">
        <v>383</v>
      </c>
      <c r="C52"/>
      <c r="D52" s="1238">
        <v>1200000</v>
      </c>
      <c r="E52" s="1238">
        <v>340000</v>
      </c>
      <c r="F52" s="1239">
        <v>250000</v>
      </c>
    </row>
    <row r="53" spans="1:6" ht="12">
      <c r="A53" s="1116"/>
      <c r="B53" s="1117"/>
      <c r="C53"/>
      <c r="D53" s="1238"/>
      <c r="E53" s="1238"/>
      <c r="F53" s="1239"/>
    </row>
    <row r="54" spans="1:6" ht="24.75">
      <c r="A54" s="1120" t="s">
        <v>388</v>
      </c>
      <c r="B54" s="1117" t="s">
        <v>385</v>
      </c>
      <c r="C54"/>
      <c r="D54" s="1238">
        <v>0</v>
      </c>
      <c r="E54" s="1238">
        <v>0</v>
      </c>
      <c r="F54" s="1239">
        <v>0</v>
      </c>
    </row>
    <row r="55" spans="1:6" ht="12">
      <c r="A55" s="1116"/>
      <c r="B55" s="1117"/>
      <c r="C55"/>
      <c r="D55" s="1238"/>
      <c r="E55" s="1238"/>
      <c r="F55" s="1239"/>
    </row>
    <row r="56" spans="1:6" ht="24.75">
      <c r="A56" s="1120" t="s">
        <v>781</v>
      </c>
      <c r="B56" s="1117" t="s">
        <v>385</v>
      </c>
      <c r="C56"/>
      <c r="D56" s="1238">
        <v>0</v>
      </c>
      <c r="E56" s="1238">
        <v>0</v>
      </c>
      <c r="F56" s="1239">
        <v>0</v>
      </c>
    </row>
    <row r="57" spans="1:6" ht="12">
      <c r="A57" s="1116"/>
      <c r="B57" s="1117"/>
      <c r="C57"/>
      <c r="D57" s="1238"/>
      <c r="E57" s="1238"/>
      <c r="F57" s="1239"/>
    </row>
    <row r="58" spans="1:6" ht="12">
      <c r="A58" s="1116" t="s">
        <v>407</v>
      </c>
      <c r="B58" s="1117" t="s">
        <v>385</v>
      </c>
      <c r="C58"/>
      <c r="D58" s="1238">
        <v>0</v>
      </c>
      <c r="E58" s="1238">
        <v>0</v>
      </c>
      <c r="F58" s="1239">
        <v>0</v>
      </c>
    </row>
    <row r="59" spans="1:6" ht="12">
      <c r="A59" s="1116"/>
      <c r="B59" s="1117"/>
      <c r="C59"/>
      <c r="D59" s="1238"/>
      <c r="E59" s="1238"/>
      <c r="F59" s="1239"/>
    </row>
    <row r="60" spans="1:6" ht="12">
      <c r="A60" s="1116" t="s">
        <v>408</v>
      </c>
      <c r="B60" s="1117" t="s">
        <v>385</v>
      </c>
      <c r="C60"/>
      <c r="D60" s="1238">
        <v>0</v>
      </c>
      <c r="E60" s="1238">
        <v>0</v>
      </c>
      <c r="F60" s="1239">
        <v>0</v>
      </c>
    </row>
    <row r="61" spans="1:6" ht="12">
      <c r="A61" s="1116"/>
      <c r="B61" s="1117"/>
      <c r="C61"/>
      <c r="D61" s="1238"/>
      <c r="E61" s="1238"/>
      <c r="F61" s="1239"/>
    </row>
    <row r="62" spans="1:6" ht="12">
      <c r="A62" s="1120" t="s">
        <v>409</v>
      </c>
      <c r="B62" s="1117" t="s">
        <v>385</v>
      </c>
      <c r="C62"/>
      <c r="D62" s="1238">
        <v>200000</v>
      </c>
      <c r="E62" s="1238">
        <v>0</v>
      </c>
      <c r="F62" s="1239">
        <v>0</v>
      </c>
    </row>
    <row r="63" spans="1:6" ht="12">
      <c r="A63" s="1116"/>
      <c r="B63" s="1117"/>
      <c r="C63"/>
      <c r="D63" s="1238"/>
      <c r="E63" s="1238"/>
      <c r="F63" s="1239"/>
    </row>
    <row r="64" spans="1:6" ht="24.75">
      <c r="A64" s="1120" t="s">
        <v>782</v>
      </c>
      <c r="B64" s="1117" t="s">
        <v>383</v>
      </c>
      <c r="C64"/>
      <c r="D64" s="1238">
        <f>D40</f>
        <v>2000</v>
      </c>
      <c r="E64" s="1238">
        <f>E40</f>
        <v>2000</v>
      </c>
      <c r="F64" s="1238">
        <f>F40</f>
        <v>2000</v>
      </c>
    </row>
    <row r="65" spans="1:6" ht="12">
      <c r="A65" s="1116"/>
      <c r="B65" s="1117"/>
      <c r="C65"/>
      <c r="D65" s="1118"/>
      <c r="E65" s="1118"/>
      <c r="F65" s="1119"/>
    </row>
    <row r="66" spans="1:6" ht="12">
      <c r="A66" s="1120" t="s">
        <v>401</v>
      </c>
      <c r="B66" s="1117" t="s">
        <v>385</v>
      </c>
      <c r="C66"/>
      <c r="D66" s="1238">
        <v>0</v>
      </c>
      <c r="E66" s="1238">
        <v>0</v>
      </c>
      <c r="F66" s="1239">
        <v>0</v>
      </c>
    </row>
    <row r="67" spans="1:6" ht="12">
      <c r="A67" s="1116"/>
      <c r="B67" s="1117"/>
      <c r="C67"/>
      <c r="D67" s="1238"/>
      <c r="E67" s="1238"/>
      <c r="F67" s="1239"/>
    </row>
    <row r="68" spans="1:6" ht="12">
      <c r="A68" s="1116" t="s">
        <v>410</v>
      </c>
      <c r="B68" s="1117" t="s">
        <v>385</v>
      </c>
      <c r="C68"/>
      <c r="D68" s="1238">
        <v>1002000</v>
      </c>
      <c r="E68" s="1238">
        <v>342000</v>
      </c>
      <c r="F68" s="1239">
        <v>252000</v>
      </c>
    </row>
    <row r="69" spans="1:6" ht="14.25">
      <c r="A69" s="1121" t="s">
        <v>411</v>
      </c>
      <c r="B69" s="1122"/>
      <c r="C69" s="1123"/>
      <c r="D69" s="1241">
        <v>0</v>
      </c>
      <c r="E69" s="1241">
        <v>0</v>
      </c>
      <c r="F69" s="1242">
        <v>0</v>
      </c>
    </row>
    <row r="70" spans="1:6" ht="12">
      <c r="A70" s="1116"/>
      <c r="B70" s="1117"/>
      <c r="C70"/>
      <c r="D70" s="1238"/>
      <c r="E70" s="1238"/>
      <c r="F70" s="1239"/>
    </row>
    <row r="71" spans="1:6" ht="12">
      <c r="A71" s="1116" t="s">
        <v>412</v>
      </c>
      <c r="B71" s="1117" t="s">
        <v>385</v>
      </c>
      <c r="C71"/>
      <c r="D71" s="1238">
        <v>0</v>
      </c>
      <c r="E71" s="1238">
        <v>0</v>
      </c>
      <c r="F71" s="1239">
        <v>0</v>
      </c>
    </row>
    <row r="72" spans="1:6" ht="12">
      <c r="A72" s="1116"/>
      <c r="B72" s="1117"/>
      <c r="C72"/>
      <c r="D72" s="1238"/>
      <c r="E72" s="1238"/>
      <c r="F72" s="1239"/>
    </row>
    <row r="73" spans="1:6" ht="12">
      <c r="A73" s="1116" t="s">
        <v>393</v>
      </c>
      <c r="B73" s="1117" t="s">
        <v>383</v>
      </c>
      <c r="C73"/>
      <c r="D73" s="1238">
        <v>0</v>
      </c>
      <c r="E73" s="1238">
        <v>0</v>
      </c>
      <c r="F73" s="1239">
        <v>0</v>
      </c>
    </row>
    <row r="74" spans="1:6" ht="12">
      <c r="A74" s="1128"/>
      <c r="B74" s="1113"/>
      <c r="C74" s="1129"/>
      <c r="D74" s="1130"/>
      <c r="E74" s="1130"/>
      <c r="F74" s="1131"/>
    </row>
    <row r="75" spans="1:6" ht="12">
      <c r="A75" s="1440" t="s">
        <v>413</v>
      </c>
      <c r="B75" s="1111"/>
      <c r="C75"/>
      <c r="D75" s="1118"/>
      <c r="E75" s="1118"/>
      <c r="F75" s="1119"/>
    </row>
    <row r="76" spans="1:6" ht="12">
      <c r="A76" s="1441"/>
      <c r="B76" s="1117"/>
      <c r="C76"/>
      <c r="D76" s="1238"/>
      <c r="E76" s="1238"/>
      <c r="F76" s="1239"/>
    </row>
    <row r="77" spans="1:6" ht="15" thickBot="1">
      <c r="A77" s="1134" t="s">
        <v>784</v>
      </c>
      <c r="B77" s="1135"/>
      <c r="C77" s="1136"/>
      <c r="D77" s="1247">
        <f>+D48+D50+D52-D54-D56-D58-D60-D62+D64-D66-D68-D71+D73</f>
        <v>0</v>
      </c>
      <c r="E77" s="1247">
        <f>+E50+E52-E54-E56-E58-E60-E62+E64-E66-E68-E71+E73</f>
        <v>0</v>
      </c>
      <c r="F77" s="1248">
        <f>+F50+F52-F54-F56-F58-F60-F62+F64-F66-F68-F71+F73</f>
        <v>0</v>
      </c>
    </row>
    <row r="78" spans="1:6" ht="12.75" thickTop="1">
      <c r="A78" s="1116"/>
      <c r="B78" s="1117"/>
      <c r="C78"/>
      <c r="D78" s="1118"/>
      <c r="E78" s="1118"/>
      <c r="F78" s="1119"/>
    </row>
    <row r="79" spans="1:6" ht="12">
      <c r="A79" s="1116"/>
      <c r="B79" s="1117"/>
      <c r="C79"/>
      <c r="D79" s="1118"/>
      <c r="E79" s="1118"/>
      <c r="F79" s="1119"/>
    </row>
    <row r="80" spans="1:6" ht="12">
      <c r="A80" s="1116"/>
      <c r="B80" s="1117"/>
      <c r="C80"/>
      <c r="D80" s="1118"/>
      <c r="E80" s="1118"/>
      <c r="F80" s="1119"/>
    </row>
    <row r="81" spans="1:6" ht="12">
      <c r="A81" s="1116" t="s">
        <v>407</v>
      </c>
      <c r="B81" s="1117" t="s">
        <v>383</v>
      </c>
      <c r="C81"/>
      <c r="D81" s="1238">
        <v>0</v>
      </c>
      <c r="E81" s="1238">
        <v>0</v>
      </c>
      <c r="F81" s="1239">
        <v>0</v>
      </c>
    </row>
    <row r="82" spans="1:6" ht="12">
      <c r="A82" s="1116"/>
      <c r="B82" s="1117"/>
      <c r="C82"/>
      <c r="D82" s="1238"/>
      <c r="E82" s="1238"/>
      <c r="F82" s="1239"/>
    </row>
    <row r="83" spans="1:6" ht="12">
      <c r="A83" s="1116" t="s">
        <v>408</v>
      </c>
      <c r="B83" s="1117" t="s">
        <v>383</v>
      </c>
      <c r="C83"/>
      <c r="D83" s="1238">
        <v>0</v>
      </c>
      <c r="E83" s="1238">
        <v>0</v>
      </c>
      <c r="F83" s="1239">
        <v>0</v>
      </c>
    </row>
    <row r="84" spans="1:6" ht="12">
      <c r="A84" s="1116"/>
      <c r="B84" s="1117"/>
      <c r="C84"/>
      <c r="D84" s="1238"/>
      <c r="E84" s="1238"/>
      <c r="F84" s="1239"/>
    </row>
    <row r="85" spans="1:6" ht="12">
      <c r="A85" s="1120" t="s">
        <v>409</v>
      </c>
      <c r="B85" s="1117" t="s">
        <v>383</v>
      </c>
      <c r="C85"/>
      <c r="D85" s="1238">
        <v>200000</v>
      </c>
      <c r="E85" s="1238">
        <v>0</v>
      </c>
      <c r="F85" s="1239">
        <v>0</v>
      </c>
    </row>
    <row r="86" spans="1:6" ht="12">
      <c r="A86" s="1116"/>
      <c r="B86" s="1117"/>
      <c r="C86"/>
      <c r="D86" s="1238"/>
      <c r="E86" s="1238"/>
      <c r="F86" s="1239"/>
    </row>
    <row r="87" spans="1:6" ht="12">
      <c r="A87" s="1116" t="s">
        <v>415</v>
      </c>
      <c r="B87" s="1117" t="s">
        <v>385</v>
      </c>
      <c r="C87"/>
      <c r="D87" s="1238">
        <v>0</v>
      </c>
      <c r="E87" s="1238">
        <v>0</v>
      </c>
      <c r="F87" s="1239">
        <v>0</v>
      </c>
    </row>
    <row r="88" spans="1:6" ht="12">
      <c r="A88" s="1116"/>
      <c r="B88" s="1117"/>
      <c r="C88"/>
      <c r="D88" s="1238"/>
      <c r="E88" s="1238"/>
      <c r="F88" s="1239"/>
    </row>
    <row r="89" spans="1:6" ht="12">
      <c r="A89" s="1116" t="s">
        <v>416</v>
      </c>
      <c r="B89" s="1117" t="s">
        <v>385</v>
      </c>
      <c r="C89"/>
      <c r="D89" s="1238">
        <v>0</v>
      </c>
      <c r="E89" s="1238">
        <v>0</v>
      </c>
      <c r="F89" s="1239">
        <v>0</v>
      </c>
    </row>
    <row r="90" spans="1:6" ht="12">
      <c r="A90" s="1116"/>
      <c r="B90" s="1117"/>
      <c r="C90"/>
      <c r="D90" s="1238"/>
      <c r="E90" s="1238"/>
      <c r="F90" s="1239"/>
    </row>
    <row r="91" spans="1:6" ht="12">
      <c r="A91" s="1120" t="s">
        <v>417</v>
      </c>
      <c r="B91" s="1117" t="s">
        <v>385</v>
      </c>
      <c r="C91"/>
      <c r="D91" s="1238">
        <v>0</v>
      </c>
      <c r="E91" s="1238">
        <v>0</v>
      </c>
      <c r="F91" s="1239">
        <v>0</v>
      </c>
    </row>
    <row r="92" spans="1:6" ht="12">
      <c r="A92" s="1116"/>
      <c r="B92" s="1117"/>
      <c r="C92"/>
      <c r="D92" s="1238"/>
      <c r="E92" s="1238"/>
      <c r="F92" s="1239"/>
    </row>
    <row r="93" spans="1:6" ht="12">
      <c r="A93" s="1116"/>
      <c r="B93" s="1117"/>
      <c r="C93" s="1137"/>
      <c r="D93" s="1130"/>
      <c r="E93" s="1130"/>
      <c r="F93" s="1131"/>
    </row>
    <row r="94" spans="1:6" ht="12">
      <c r="A94" s="1440" t="s">
        <v>418</v>
      </c>
      <c r="B94" s="1111"/>
      <c r="C94"/>
      <c r="D94" s="1118"/>
      <c r="E94" s="1118"/>
      <c r="F94" s="1119"/>
    </row>
    <row r="95" spans="1:6" ht="12">
      <c r="A95" s="1441"/>
      <c r="B95" s="1117"/>
      <c r="C95"/>
      <c r="D95" s="1118"/>
      <c r="E95" s="1118"/>
      <c r="F95" s="1119"/>
    </row>
    <row r="96" spans="1:6" ht="15" thickBot="1">
      <c r="A96" s="1134" t="s">
        <v>419</v>
      </c>
      <c r="B96" s="1135"/>
      <c r="C96" s="1136"/>
      <c r="D96" s="1247">
        <f>+D46+D77+D81+D83+D85-D87-D89-D91</f>
        <v>200000</v>
      </c>
      <c r="E96" s="1247">
        <f>+E46+E77+E81+E83+E85-E87-E89-E91</f>
        <v>0</v>
      </c>
      <c r="F96" s="1248">
        <f>+F46+F77+F81+F83+F85-F87-F89-F91</f>
        <v>0</v>
      </c>
    </row>
    <row r="97" ht="12.75" thickTop="1"/>
    <row r="98" spans="1:6" ht="16.5">
      <c r="A98" s="1442" t="s">
        <v>785</v>
      </c>
      <c r="B98" s="1443"/>
      <c r="C98" s="1443"/>
      <c r="D98" s="1443"/>
      <c r="E98" s="1443"/>
      <c r="F98" s="1444"/>
    </row>
    <row r="99" spans="1:6" ht="14.25">
      <c r="A99" s="1139" t="s">
        <v>786</v>
      </c>
      <c r="B99" s="1140"/>
      <c r="C99" s="1445">
        <f>+D46</f>
        <v>0</v>
      </c>
      <c r="D99" s="1446"/>
      <c r="E99" s="1249">
        <f>+E46</f>
        <v>0</v>
      </c>
      <c r="F99" s="1249">
        <f>+F46</f>
        <v>0</v>
      </c>
    </row>
    <row r="100" spans="1:6" ht="14.25">
      <c r="A100" s="1141" t="s">
        <v>787</v>
      </c>
      <c r="B100" s="1142" t="s">
        <v>385</v>
      </c>
      <c r="C100" s="1447">
        <f>+D34</f>
        <v>0</v>
      </c>
      <c r="D100" s="1448"/>
      <c r="E100" s="2"/>
      <c r="F100" s="2"/>
    </row>
    <row r="101" spans="1:6" ht="14.25">
      <c r="A101" s="1143" t="s">
        <v>788</v>
      </c>
      <c r="B101" s="1144"/>
      <c r="C101" s="1449">
        <f>+C99-C100</f>
        <v>0</v>
      </c>
      <c r="D101" s="1450"/>
      <c r="E101" s="1250">
        <f>+E99</f>
        <v>0</v>
      </c>
      <c r="F101" s="1250">
        <f>+F99</f>
        <v>0</v>
      </c>
    </row>
    <row r="103" spans="1:6" ht="12">
      <c r="A103" s="1451" t="s">
        <v>420</v>
      </c>
      <c r="B103" s="1451"/>
      <c r="C103" s="1451"/>
      <c r="D103" s="1451"/>
      <c r="E103" s="1451"/>
      <c r="F103" s="1451"/>
    </row>
    <row r="104" spans="1:6" ht="12">
      <c r="A104" s="1451" t="s">
        <v>421</v>
      </c>
      <c r="B104" s="1451"/>
      <c r="C104" s="1451"/>
      <c r="D104" s="1451"/>
      <c r="E104" s="1451"/>
      <c r="F104" s="1451"/>
    </row>
    <row r="105" spans="1:6" ht="12">
      <c r="A105" s="1451" t="s">
        <v>422</v>
      </c>
      <c r="B105" s="1451"/>
      <c r="C105" s="1451"/>
      <c r="D105" s="1451"/>
      <c r="E105" s="1451"/>
      <c r="F105" s="1451"/>
    </row>
    <row r="106" spans="1:6" ht="12">
      <c r="A106" s="1451" t="s">
        <v>429</v>
      </c>
      <c r="B106" s="1451"/>
      <c r="C106" s="1451"/>
      <c r="D106" s="1451"/>
      <c r="E106" s="1451"/>
      <c r="F106" s="1451"/>
    </row>
    <row r="107" spans="1:6" ht="12">
      <c r="A107" s="1451" t="s">
        <v>430</v>
      </c>
      <c r="B107" s="1451"/>
      <c r="C107" s="1451"/>
      <c r="D107" s="1451"/>
      <c r="E107" s="1451"/>
      <c r="F107" s="1451"/>
    </row>
    <row r="108" spans="1:6" ht="12">
      <c r="A108" s="1451" t="s">
        <v>431</v>
      </c>
      <c r="B108" s="1451"/>
      <c r="C108" s="1451"/>
      <c r="D108" s="1451"/>
      <c r="E108" s="1451"/>
      <c r="F108" s="1451"/>
    </row>
    <row r="109" spans="1:6" ht="12">
      <c r="A109" s="1451" t="s">
        <v>432</v>
      </c>
      <c r="B109" s="1451"/>
      <c r="C109" s="1451"/>
      <c r="D109" s="1451"/>
      <c r="E109" s="1451"/>
      <c r="F109" s="1451"/>
    </row>
    <row r="110" spans="1:6" ht="12">
      <c r="A110" s="1451" t="s">
        <v>434</v>
      </c>
      <c r="B110" s="1451"/>
      <c r="C110" s="1451"/>
      <c r="D110" s="1451"/>
      <c r="E110" s="1451"/>
      <c r="F110" s="1451"/>
    </row>
    <row r="111" spans="1:6" ht="12">
      <c r="A111" s="1451" t="s">
        <v>789</v>
      </c>
      <c r="B111" s="1451"/>
      <c r="C111" s="1451"/>
      <c r="D111" s="1451"/>
      <c r="E111" s="1451"/>
      <c r="F111" s="1451"/>
    </row>
    <row r="112" spans="1:6" ht="79.5" customHeight="1">
      <c r="A112" s="1451" t="s">
        <v>790</v>
      </c>
      <c r="B112" s="1451"/>
      <c r="C112" s="1451"/>
      <c r="D112" s="1451"/>
      <c r="E112" s="1451"/>
      <c r="F112" s="1451"/>
    </row>
    <row r="113" spans="1:6" ht="12">
      <c r="A113" s="1451" t="s">
        <v>791</v>
      </c>
      <c r="B113" s="1451"/>
      <c r="C113" s="1451"/>
      <c r="D113" s="1451"/>
      <c r="E113" s="1451"/>
      <c r="F113" s="1451"/>
    </row>
    <row r="114" spans="1:6" ht="78.75" customHeight="1">
      <c r="A114" s="1451" t="s">
        <v>792</v>
      </c>
      <c r="B114" s="1451"/>
      <c r="C114" s="1451"/>
      <c r="D114" s="1451"/>
      <c r="E114" s="1451"/>
      <c r="F114" s="1451"/>
    </row>
  </sheetData>
  <sheetProtection/>
  <mergeCells count="24">
    <mergeCell ref="A109:F109"/>
    <mergeCell ref="A110:F110"/>
    <mergeCell ref="A111:F111"/>
    <mergeCell ref="A112:F112"/>
    <mergeCell ref="A113:F113"/>
    <mergeCell ref="A114:F114"/>
    <mergeCell ref="A103:F103"/>
    <mergeCell ref="A104:F104"/>
    <mergeCell ref="A105:F105"/>
    <mergeCell ref="A106:F106"/>
    <mergeCell ref="A107:F107"/>
    <mergeCell ref="A108:F108"/>
    <mergeCell ref="A75:A76"/>
    <mergeCell ref="A94:A95"/>
    <mergeCell ref="A98:F98"/>
    <mergeCell ref="C99:D99"/>
    <mergeCell ref="C100:D100"/>
    <mergeCell ref="C101:D101"/>
    <mergeCell ref="A1:F1"/>
    <mergeCell ref="A3:F3"/>
    <mergeCell ref="A4:F4"/>
    <mergeCell ref="A6:B6"/>
    <mergeCell ref="A32:F32"/>
    <mergeCell ref="A44:A4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dc:creator>
  <cp:keywords/>
  <dc:description/>
  <cp:lastModifiedBy>Remigio Alessi</cp:lastModifiedBy>
  <cp:lastPrinted>2017-12-01T11:16:38Z</cp:lastPrinted>
  <dcterms:created xsi:type="dcterms:W3CDTF">2002-12-06T16:17:47Z</dcterms:created>
  <dcterms:modified xsi:type="dcterms:W3CDTF">2021-02-10T09:08:12Z</dcterms:modified>
  <cp:category/>
  <cp:version/>
  <cp:contentType/>
  <cp:contentStatus/>
</cp:coreProperties>
</file>